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240" windowHeight="726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<sst xmlns="http://schemas.openxmlformats.org/spreadsheetml/2006/main" count="470" uniqueCount="235">
  <si>
    <t>Matière M1</t>
  </si>
  <si>
    <t xml:space="preserve">atelier </t>
  </si>
  <si>
    <t xml:space="preserve">usinage </t>
  </si>
  <si>
    <t>Matière M2</t>
  </si>
  <si>
    <t>anti corro</t>
  </si>
  <si>
    <t>perte de 2%</t>
  </si>
  <si>
    <t xml:space="preserve">fiche de stock de MP1 </t>
  </si>
  <si>
    <t>PF</t>
  </si>
  <si>
    <t xml:space="preserve">QUESTION 1 </t>
  </si>
  <si>
    <t xml:space="preserve">MP1 </t>
  </si>
  <si>
    <t xml:space="preserve">SI </t>
  </si>
  <si>
    <t xml:space="preserve">SI + E = S + SF </t>
  </si>
  <si>
    <t>inconnu E à calculer</t>
  </si>
  <si>
    <t xml:space="preserve">stock de MP1 </t>
  </si>
  <si>
    <t>Q</t>
  </si>
  <si>
    <t>PU</t>
  </si>
  <si>
    <t>T</t>
  </si>
  <si>
    <t xml:space="preserve">CD Achat </t>
  </si>
  <si>
    <t>atelier</t>
  </si>
  <si>
    <t>de prepa</t>
  </si>
  <si>
    <t>fiche de stock de PF</t>
  </si>
  <si>
    <t>CI Achat</t>
  </si>
  <si>
    <t>TOTAL</t>
  </si>
  <si>
    <t>E</t>
  </si>
  <si>
    <t>CD</t>
  </si>
  <si>
    <t xml:space="preserve">et CI </t>
  </si>
  <si>
    <t xml:space="preserve">CI </t>
  </si>
  <si>
    <t xml:space="preserve">et déchets </t>
  </si>
  <si>
    <t xml:space="preserve">CD+CI </t>
  </si>
  <si>
    <t xml:space="preserve">Encours </t>
  </si>
  <si>
    <t xml:space="preserve">fiche de stocks de MP1 </t>
  </si>
  <si>
    <t>S</t>
  </si>
  <si>
    <t>DIFF INV</t>
  </si>
  <si>
    <t xml:space="preserve">DIFF TAUX </t>
  </si>
  <si>
    <t xml:space="preserve">SF </t>
  </si>
  <si>
    <t xml:space="preserve">achat </t>
  </si>
  <si>
    <t>production</t>
  </si>
  <si>
    <t xml:space="preserve">vente </t>
  </si>
  <si>
    <t>prepa</t>
  </si>
  <si>
    <t>appro</t>
  </si>
  <si>
    <t>peinture</t>
  </si>
  <si>
    <t>distrib</t>
  </si>
  <si>
    <t>total</t>
  </si>
  <si>
    <t>Rep 2</t>
  </si>
  <si>
    <t>nature UO</t>
  </si>
  <si>
    <t xml:space="preserve">nbre UO </t>
  </si>
  <si>
    <t xml:space="preserve">cout UO </t>
  </si>
  <si>
    <t xml:space="preserve">cout arrondi </t>
  </si>
  <si>
    <t xml:space="preserve">écart </t>
  </si>
  <si>
    <t>13090 kg MP1</t>
  </si>
  <si>
    <t>QUESTION 2</t>
  </si>
  <si>
    <t xml:space="preserve">EN COURS INITIAL </t>
  </si>
  <si>
    <t>ENONCE</t>
  </si>
  <si>
    <t>matière</t>
  </si>
  <si>
    <t>mod</t>
  </si>
  <si>
    <t>CI</t>
  </si>
  <si>
    <t>conso</t>
  </si>
  <si>
    <t xml:space="preserve">- EN COURS FINAL </t>
  </si>
  <si>
    <t>X</t>
  </si>
  <si>
    <t xml:space="preserve">COUT PRODUCTION </t>
  </si>
  <si>
    <t xml:space="preserve">cout de production </t>
  </si>
  <si>
    <t xml:space="preserve">des encours finaux </t>
  </si>
  <si>
    <t xml:space="preserve">emballages </t>
  </si>
  <si>
    <t>4 u/kg</t>
  </si>
  <si>
    <t>52 000 u</t>
  </si>
  <si>
    <t>kgs</t>
  </si>
  <si>
    <t xml:space="preserve">CD et CI </t>
  </si>
  <si>
    <t>les encours finaux se retirent des couts de production, qui représentent les charges de la production terminée</t>
  </si>
  <si>
    <t xml:space="preserve">les encours initiaux se rajoutent aux couts de production, car ces encours sont finis sur la période </t>
  </si>
  <si>
    <t xml:space="preserve">comment valoriser la part matière des encours finaux ? </t>
  </si>
  <si>
    <t>méthode 1</t>
  </si>
  <si>
    <t xml:space="preserve">pas bonne </t>
  </si>
  <si>
    <t>prendre 260 kgs x 37 e</t>
  </si>
  <si>
    <t xml:space="preserve">méthode 2 </t>
  </si>
  <si>
    <t xml:space="preserve">bonne </t>
  </si>
  <si>
    <t>car n'integre pas les rebuts potentiels et non calée par rapport au standard</t>
  </si>
  <si>
    <t xml:space="preserve">quelle qté de MP consommée pour les EN Finaux ? </t>
  </si>
  <si>
    <t>pour 52.000 PF, je consomme 13.000 kgs au standard</t>
  </si>
  <si>
    <t>e/kgs</t>
  </si>
  <si>
    <t xml:space="preserve">pour 260 kgs, </t>
  </si>
  <si>
    <t xml:space="preserve">cela fait : </t>
  </si>
  <si>
    <t xml:space="preserve">arrondi </t>
  </si>
  <si>
    <t>principes</t>
  </si>
  <si>
    <t xml:space="preserve">donc </t>
  </si>
  <si>
    <t>donc</t>
  </si>
  <si>
    <t xml:space="preserve">le cout réel unitaire est donc de 483.330 euros / 13.020 kgs = </t>
  </si>
  <si>
    <t xml:space="preserve">la conso matière réelle du mois integre les encours </t>
  </si>
  <si>
    <t xml:space="preserve">meme si résultat proche </t>
  </si>
  <si>
    <t xml:space="preserve">260 kgs </t>
  </si>
  <si>
    <t xml:space="preserve">total </t>
  </si>
  <si>
    <t>les couts de production mesurent les couts de la PC (production complète)</t>
  </si>
  <si>
    <t xml:space="preserve">or, Eni + PC - Enf = 13.000 kgs </t>
  </si>
  <si>
    <t xml:space="preserve">PC = 13.000 - Eni + Enf = 13.020 kgs </t>
  </si>
  <si>
    <t>fiche de stocks de M2 peinture anti corrosion</t>
  </si>
  <si>
    <t xml:space="preserve">COUT ACHAT M2 </t>
  </si>
  <si>
    <t>fiche de stocks de produits PF</t>
  </si>
  <si>
    <t>ET</t>
  </si>
  <si>
    <t>ET : calculs Equivalents Terminés pour mod et CI</t>
  </si>
  <si>
    <t xml:space="preserve">pour la matière première, le traitement étant fait en amont de l'atelier, tous les encours sont 100 % complets coté Matière </t>
  </si>
  <si>
    <t xml:space="preserve">atelier usinage </t>
  </si>
  <si>
    <t>produit semi fini</t>
  </si>
  <si>
    <t xml:space="preserve">CUMP </t>
  </si>
  <si>
    <t>M2</t>
  </si>
  <si>
    <t>fiche de st</t>
  </si>
  <si>
    <t>atelier peinture</t>
  </si>
  <si>
    <t xml:space="preserve">pour la matière première, le traitement étant fait dans l'atelier, les encours suivent le taux de l'énoncé </t>
  </si>
  <si>
    <t>fiche de stocks de produits semi finis</t>
  </si>
  <si>
    <t xml:space="preserve">en kgs </t>
  </si>
  <si>
    <t xml:space="preserve">matière M2 </t>
  </si>
  <si>
    <t xml:space="preserve">produit semi fini </t>
  </si>
  <si>
    <t>fiche de stock PSF</t>
  </si>
  <si>
    <t xml:space="preserve">pas de SI et SF </t>
  </si>
  <si>
    <t>horaire</t>
  </si>
  <si>
    <t>Q / ou ET</t>
  </si>
  <si>
    <t xml:space="preserve">VENTES </t>
  </si>
  <si>
    <t>GROSSISTE</t>
  </si>
  <si>
    <t>VRAC INTRA</t>
  </si>
  <si>
    <t xml:space="preserve">TOTAL CA </t>
  </si>
  <si>
    <t>CPPV</t>
  </si>
  <si>
    <t xml:space="preserve">CD </t>
  </si>
  <si>
    <t xml:space="preserve">COUT DE REVIENT </t>
  </si>
  <si>
    <t>CMUP</t>
  </si>
  <si>
    <t>en nb de produits</t>
  </si>
  <si>
    <t>qtés stockées</t>
  </si>
  <si>
    <t>qté achetée</t>
  </si>
  <si>
    <t>MP1 apres trait</t>
  </si>
  <si>
    <t>déchets ?</t>
  </si>
  <si>
    <t>tolérance</t>
  </si>
  <si>
    <t>nb kgs stockées</t>
  </si>
  <si>
    <t xml:space="preserve">kgs </t>
  </si>
  <si>
    <t xml:space="preserve">achats </t>
  </si>
  <si>
    <t>MOD</t>
  </si>
  <si>
    <t xml:space="preserve">traitement </t>
  </si>
  <si>
    <t>- ventes déch</t>
  </si>
  <si>
    <t>énoncé</t>
  </si>
  <si>
    <t xml:space="preserve">MP ? </t>
  </si>
  <si>
    <t xml:space="preserve">= 13.000 - 240 + 260 </t>
  </si>
  <si>
    <t xml:space="preserve">= 13.020 kgs </t>
  </si>
  <si>
    <t xml:space="preserve">PC = 13.000 - Eni + Enf </t>
  </si>
  <si>
    <t xml:space="preserve">le cout réel unitaire est donc de 484.330 euros / 13.020 kgs = </t>
  </si>
  <si>
    <t>+</t>
  </si>
  <si>
    <t>=</t>
  </si>
  <si>
    <t>à recalculer</t>
  </si>
  <si>
    <t>pas assez</t>
  </si>
  <si>
    <t xml:space="preserve">trop </t>
  </si>
  <si>
    <t>à condit. Déchets stockés ?</t>
  </si>
  <si>
    <t xml:space="preserve">ET </t>
  </si>
  <si>
    <t>id</t>
  </si>
  <si>
    <t>120 kgs d'encours</t>
  </si>
  <si>
    <t xml:space="preserve">140 kgs d'encours </t>
  </si>
  <si>
    <t>kg encours</t>
  </si>
  <si>
    <t>%</t>
  </si>
  <si>
    <t xml:space="preserve">total SF </t>
  </si>
  <si>
    <t xml:space="preserve">Produit semi fini </t>
  </si>
  <si>
    <t>CUMP</t>
  </si>
  <si>
    <t xml:space="preserve">matières M2 </t>
  </si>
  <si>
    <t>M1</t>
  </si>
  <si>
    <t xml:space="preserve">cout achat </t>
  </si>
  <si>
    <t xml:space="preserve">MP1 traités </t>
  </si>
  <si>
    <t xml:space="preserve">cout de production usinage </t>
  </si>
  <si>
    <t xml:space="preserve">sous produit </t>
  </si>
  <si>
    <t xml:space="preserve">usinage avec EN </t>
  </si>
  <si>
    <t xml:space="preserve">peinture avec EN </t>
  </si>
  <si>
    <t xml:space="preserve">cout de production peinture </t>
  </si>
  <si>
    <t>charges distr</t>
  </si>
  <si>
    <t xml:space="preserve">cout de revient </t>
  </si>
  <si>
    <t>EC INIT</t>
  </si>
  <si>
    <t>ET pf</t>
  </si>
  <si>
    <t>PTF</t>
  </si>
  <si>
    <t xml:space="preserve">EC FINAL </t>
  </si>
  <si>
    <t>produits</t>
  </si>
  <si>
    <t xml:space="preserve">dont les 1.000 pdts d'encours </t>
  </si>
  <si>
    <t xml:space="preserve">PFT </t>
  </si>
  <si>
    <t>EC INI</t>
  </si>
  <si>
    <t>1000x20%</t>
  </si>
  <si>
    <t>EC FIN</t>
  </si>
  <si>
    <t>70 % et 60 %</t>
  </si>
  <si>
    <t>conso de peinture</t>
  </si>
  <si>
    <t xml:space="preserve">produits </t>
  </si>
  <si>
    <t>dont ceux EC INI</t>
  </si>
  <si>
    <t>cout de production atelier anti corrosion</t>
  </si>
  <si>
    <t>jscilien@u-paris10.fr</t>
  </si>
  <si>
    <t>Pourquoi ? Énoncé</t>
  </si>
  <si>
    <t>Pourquoi ? Enoncé</t>
  </si>
  <si>
    <t xml:space="preserve">A COMPLETER </t>
  </si>
  <si>
    <t xml:space="preserve">CLIENT </t>
  </si>
  <si>
    <t xml:space="preserve">PRODUITS </t>
  </si>
  <si>
    <t xml:space="preserve">fiche de stocks de sachets </t>
  </si>
  <si>
    <t xml:space="preserve">fiche de stocks boites </t>
  </si>
  <si>
    <t xml:space="preserve">perte </t>
  </si>
  <si>
    <t xml:space="preserve">sachets </t>
  </si>
  <si>
    <t xml:space="preserve">boites </t>
  </si>
  <si>
    <t xml:space="preserve">ristourne </t>
  </si>
  <si>
    <t xml:space="preserve">TVA </t>
  </si>
  <si>
    <t xml:space="preserve">différence inventaire </t>
  </si>
  <si>
    <t>vente Emballa récup</t>
  </si>
  <si>
    <t xml:space="preserve">NET HT </t>
  </si>
  <si>
    <t>emball recup</t>
  </si>
  <si>
    <t>vente analytique</t>
  </si>
  <si>
    <t>rest analyt</t>
  </si>
  <si>
    <t>ristournes</t>
  </si>
  <si>
    <t>marges</t>
  </si>
  <si>
    <t>sur emball</t>
  </si>
  <si>
    <t>rest analyt retraité</t>
  </si>
  <si>
    <t>différence taux</t>
  </si>
  <si>
    <t>cout de production Atelier 1</t>
  </si>
  <si>
    <t xml:space="preserve">pour les </t>
  </si>
  <si>
    <t>prod. Terminés</t>
  </si>
  <si>
    <t>prod. Finis</t>
  </si>
  <si>
    <t>matières M2</t>
  </si>
  <si>
    <t xml:space="preserve">VOIR PAGE SUIVANTE </t>
  </si>
  <si>
    <t xml:space="preserve">en nb de sachets </t>
  </si>
  <si>
    <t>en nb de boites</t>
  </si>
  <si>
    <t xml:space="preserve">facultative </t>
  </si>
  <si>
    <t xml:space="preserve">52.000/4 kgs </t>
  </si>
  <si>
    <t xml:space="preserve">heures </t>
  </si>
  <si>
    <t xml:space="preserve">non demandés </t>
  </si>
  <si>
    <t xml:space="preserve">résultats </t>
  </si>
  <si>
    <t>demandés</t>
  </si>
  <si>
    <t xml:space="preserve">9000 u = 3000 sachets </t>
  </si>
  <si>
    <t>COUT DE REVIENT commande X</t>
  </si>
  <si>
    <t>COUT DE REVIENT (boite)</t>
  </si>
  <si>
    <t>CA CLIENT X (boites)</t>
  </si>
  <si>
    <t xml:space="preserve">Q </t>
  </si>
  <si>
    <t xml:space="preserve">cde X </t>
  </si>
  <si>
    <t xml:space="preserve">énoncé </t>
  </si>
  <si>
    <t>CA</t>
  </si>
  <si>
    <t>arrondi</t>
  </si>
  <si>
    <t>- EN INITI</t>
  </si>
  <si>
    <t xml:space="preserve">+ EN FINAUX </t>
  </si>
  <si>
    <t xml:space="preserve">= prod ET kgs </t>
  </si>
  <si>
    <t>Production complète standard</t>
  </si>
  <si>
    <t xml:space="preserve">conso MP1 en euros </t>
  </si>
  <si>
    <t xml:space="preserve">PU ou Prix </t>
  </si>
  <si>
    <t xml:space="preserve">livré au client 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</si>
</sst>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0\ &quot;€&quot;_-;\-* #,##0.000\ &quot;€&quot;_-;_-* &quot;-&quot;???\ &quot;€&quot;_-;_-@_-"/>
    <numFmt numFmtId="165" formatCode="_-* #,##0.00000\ &quot;€&quot;_-;\-* #,##0.00000\ &quot;€&quot;_-;_-* &quot;-&quot;?????\ &quot;€&quot;_-;_-@_-"/>
    <numFmt numFmtId="166" formatCode="#,##0.00_ ;\-#,##0.00\ "/>
    <numFmt numFmtId="167" formatCode="_-* #,##0.0000\ _€_-;\-* #,##0.0000\ _€_-;_-* &quot;-&quot;????\ _€_-;_-@_-"/>
    <numFmt numFmtId="168" formatCode="_-* #,##0.00000\ _€_-;\-* #,##0.00000\ _€_-;_-* &quot;-&quot;?????\ _€_-;_-@_-"/>
    <numFmt numFmtId="169" formatCode="_-* #,##0.000000\ &quot;€&quot;_-;\-* #,##0.000000\ &quot;€&quot;_-;_-* &quot;-&quot;??????\ &quot;€&quot;_-;_-@_-"/>
    <numFmt numFmtId="170" formatCode="0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8"/>
      <name val="Calibri"/>
      <family val="2"/>
    </font>
    <font>
      <sz val="11"/>
      <color indexed="12"/>
      <name val="Calibri"/>
      <family val="2"/>
    </font>
    <font>
      <b/>
      <sz val="14"/>
      <color indexed="8"/>
      <name val="Calibri"/>
      <family val="2"/>
    </font>
    <font>
      <sz val="22"/>
      <color indexed="8"/>
      <name val="Calibri"/>
      <family val="2"/>
    </font>
    <font>
      <sz val="16"/>
      <color indexed="8"/>
      <name val="Calibri"/>
      <family val="2"/>
    </font>
    <font>
      <b/>
      <sz val="22"/>
      <color indexed="8"/>
      <name val="Calibri"/>
      <family val="2"/>
    </font>
    <font>
      <b/>
      <sz val="20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1"/>
      <color theme="1"/>
      <name val="Calibri"/>
      <family val="2"/>
    </font>
    <font>
      <sz val="11"/>
      <color theme="10"/>
      <name val="Calibri"/>
      <family val="2"/>
    </font>
    <font>
      <b/>
      <sz val="14"/>
      <color theme="1"/>
      <name val="Calibri"/>
      <family val="2"/>
    </font>
    <font>
      <sz val="22"/>
      <color theme="1"/>
      <name val="Calibri"/>
      <family val="2"/>
    </font>
    <font>
      <sz val="16"/>
      <color theme="1"/>
      <name val="Calibri"/>
      <family val="2"/>
    </font>
    <font>
      <b/>
      <sz val="22"/>
      <color theme="1"/>
      <name val="Calibri"/>
      <family val="2"/>
    </font>
    <font>
      <b/>
      <sz val="20"/>
      <color theme="1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1" tint="0.04998999834060669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 style="medium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31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 horizontal="righ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0" xfId="0" applyAlignment="1">
      <alignment horizontal="center"/>
    </xf>
    <xf numFmtId="0" fontId="0" fillId="0" borderId="23" xfId="0" applyBorder="1" applyAlignment="1">
      <alignment/>
    </xf>
    <xf numFmtId="0" fontId="43" fillId="0" borderId="0" xfId="0" applyFont="1" applyAlignment="1">
      <alignment/>
    </xf>
    <xf numFmtId="0" fontId="0" fillId="0" borderId="2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8" xfId="0" applyBorder="1" applyAlignment="1" quotePrefix="1">
      <alignment horizontal="center"/>
    </xf>
    <xf numFmtId="0" fontId="0" fillId="0" borderId="2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0" borderId="25" xfId="0" applyBorder="1" applyAlignment="1">
      <alignment/>
    </xf>
    <xf numFmtId="0" fontId="0" fillId="0" borderId="30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2" borderId="35" xfId="0" applyFill="1" applyBorder="1" applyAlignment="1">
      <alignment/>
    </xf>
    <xf numFmtId="0" fontId="0" fillId="2" borderId="36" xfId="0" applyFill="1" applyBorder="1" applyAlignment="1">
      <alignment/>
    </xf>
    <xf numFmtId="0" fontId="0" fillId="0" borderId="0" xfId="0" applyAlignment="1">
      <alignment horizontal="left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40" xfId="0" applyBorder="1" applyAlignment="1">
      <alignment horizontal="center"/>
    </xf>
    <xf numFmtId="41" fontId="0" fillId="0" borderId="24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41" fontId="0" fillId="0" borderId="11" xfId="0" applyNumberFormat="1" applyBorder="1" applyAlignment="1">
      <alignment horizontal="center"/>
    </xf>
    <xf numFmtId="0" fontId="0" fillId="0" borderId="41" xfId="0" applyBorder="1" applyAlignment="1">
      <alignment horizontal="right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33" borderId="24" xfId="0" applyFill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46" xfId="0" applyBorder="1" applyAlignment="1">
      <alignment/>
    </xf>
    <xf numFmtId="44" fontId="0" fillId="0" borderId="24" xfId="0" applyNumberFormat="1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9" xfId="0" applyBorder="1" applyAlignment="1">
      <alignment/>
    </xf>
    <xf numFmtId="0" fontId="0" fillId="0" borderId="47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0" xfId="0" applyAlignment="1">
      <alignment/>
    </xf>
    <xf numFmtId="4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42" fontId="0" fillId="0" borderId="24" xfId="0" applyNumberFormat="1" applyBorder="1" applyAlignment="1">
      <alignment horizontal="center"/>
    </xf>
    <xf numFmtId="0" fontId="0" fillId="3" borderId="11" xfId="0" applyFill="1" applyBorder="1" applyAlignment="1">
      <alignment horizontal="center"/>
    </xf>
    <xf numFmtId="165" fontId="0" fillId="0" borderId="24" xfId="0" applyNumberFormat="1" applyBorder="1" applyAlignment="1">
      <alignment horizontal="center"/>
    </xf>
    <xf numFmtId="41" fontId="0" fillId="0" borderId="10" xfId="0" applyNumberFormat="1" applyBorder="1" applyAlignment="1">
      <alignment horizontal="center"/>
    </xf>
    <xf numFmtId="0" fontId="0" fillId="33" borderId="39" xfId="0" applyFill="1" applyBorder="1" applyAlignment="1">
      <alignment horizontal="center"/>
    </xf>
    <xf numFmtId="0" fontId="0" fillId="0" borderId="37" xfId="0" applyBorder="1" applyAlignment="1" quotePrefix="1">
      <alignment horizontal="center"/>
    </xf>
    <xf numFmtId="165" fontId="0" fillId="0" borderId="38" xfId="0" applyNumberFormat="1" applyBorder="1" applyAlignment="1">
      <alignment horizontal="center"/>
    </xf>
    <xf numFmtId="0" fontId="0" fillId="0" borderId="34" xfId="0" applyBorder="1" applyAlignment="1">
      <alignment horizontal="left"/>
    </xf>
    <xf numFmtId="0" fontId="0" fillId="0" borderId="34" xfId="0" applyBorder="1" applyAlignment="1">
      <alignment horizontal="center"/>
    </xf>
    <xf numFmtId="0" fontId="0" fillId="0" borderId="34" xfId="0" applyBorder="1" applyAlignment="1">
      <alignment/>
    </xf>
    <xf numFmtId="44" fontId="0" fillId="0" borderId="11" xfId="0" applyNumberFormat="1" applyBorder="1" applyAlignment="1">
      <alignment horizontal="center"/>
    </xf>
    <xf numFmtId="44" fontId="0" fillId="0" borderId="38" xfId="0" applyNumberFormat="1" applyBorder="1" applyAlignment="1">
      <alignment horizontal="center"/>
    </xf>
    <xf numFmtId="44" fontId="0" fillId="33" borderId="38" xfId="0" applyNumberFormat="1" applyFill="1" applyBorder="1" applyAlignment="1">
      <alignment horizontal="center"/>
    </xf>
    <xf numFmtId="0" fontId="0" fillId="0" borderId="48" xfId="0" applyBorder="1" applyAlignment="1">
      <alignment/>
    </xf>
    <xf numFmtId="165" fontId="0" fillId="0" borderId="11" xfId="0" applyNumberFormat="1" applyBorder="1" applyAlignment="1">
      <alignment horizontal="center"/>
    </xf>
    <xf numFmtId="2" fontId="0" fillId="0" borderId="38" xfId="0" applyNumberFormat="1" applyBorder="1" applyAlignment="1">
      <alignment horizontal="center"/>
    </xf>
    <xf numFmtId="165" fontId="0" fillId="0" borderId="11" xfId="0" applyNumberFormat="1" applyFill="1" applyBorder="1" applyAlignment="1">
      <alignment horizontal="center"/>
    </xf>
    <xf numFmtId="42" fontId="0" fillId="0" borderId="11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40" xfId="0" applyBorder="1" applyAlignment="1">
      <alignment/>
    </xf>
    <xf numFmtId="0" fontId="43" fillId="0" borderId="0" xfId="0" applyFont="1" applyAlignment="1">
      <alignment horizontal="center"/>
    </xf>
    <xf numFmtId="44" fontId="0" fillId="33" borderId="11" xfId="0" applyNumberFormat="1" applyFill="1" applyBorder="1" applyAlignment="1">
      <alignment horizontal="center"/>
    </xf>
    <xf numFmtId="42" fontId="0" fillId="0" borderId="39" xfId="0" applyNumberFormat="1" applyBorder="1" applyAlignment="1">
      <alignment horizontal="center"/>
    </xf>
    <xf numFmtId="42" fontId="0" fillId="0" borderId="10" xfId="0" applyNumberFormat="1" applyBorder="1" applyAlignment="1">
      <alignment horizontal="center"/>
    </xf>
    <xf numFmtId="42" fontId="0" fillId="33" borderId="39" xfId="0" applyNumberFormat="1" applyFill="1" applyBorder="1" applyAlignment="1">
      <alignment horizontal="center"/>
    </xf>
    <xf numFmtId="0" fontId="45" fillId="0" borderId="0" xfId="0" applyFont="1" applyAlignment="1">
      <alignment/>
    </xf>
    <xf numFmtId="42" fontId="46" fillId="33" borderId="39" xfId="45" applyNumberFormat="1" applyFont="1" applyFill="1" applyBorder="1" applyAlignment="1">
      <alignment horizontal="center"/>
    </xf>
    <xf numFmtId="166" fontId="0" fillId="0" borderId="24" xfId="0" applyNumberFormat="1" applyBorder="1" applyAlignment="1">
      <alignment horizontal="center"/>
    </xf>
    <xf numFmtId="41" fontId="0" fillId="0" borderId="0" xfId="0" applyNumberFormat="1" applyAlignment="1">
      <alignment/>
    </xf>
    <xf numFmtId="0" fontId="0" fillId="33" borderId="38" xfId="0" applyFill="1" applyBorder="1" applyAlignment="1">
      <alignment horizontal="center"/>
    </xf>
    <xf numFmtId="44" fontId="0" fillId="0" borderId="24" xfId="0" applyNumberFormat="1" applyFill="1" applyBorder="1" applyAlignment="1">
      <alignment horizontal="center"/>
    </xf>
    <xf numFmtId="13" fontId="0" fillId="0" borderId="0" xfId="0" applyNumberFormat="1" applyAlignment="1">
      <alignment/>
    </xf>
    <xf numFmtId="41" fontId="0" fillId="0" borderId="10" xfId="0" applyNumberFormat="1" applyBorder="1" applyAlignment="1">
      <alignment/>
    </xf>
    <xf numFmtId="41" fontId="0" fillId="0" borderId="11" xfId="0" applyNumberFormat="1" applyBorder="1" applyAlignment="1">
      <alignment/>
    </xf>
    <xf numFmtId="42" fontId="0" fillId="0" borderId="0" xfId="0" applyNumberFormat="1" applyAlignment="1">
      <alignment/>
    </xf>
    <xf numFmtId="0" fontId="0" fillId="34" borderId="24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3" xfId="0" applyBorder="1" applyAlignment="1">
      <alignment horizontal="center"/>
    </xf>
    <xf numFmtId="2" fontId="0" fillId="0" borderId="24" xfId="0" applyNumberFormat="1" applyBorder="1" applyAlignment="1">
      <alignment horizontal="center"/>
    </xf>
    <xf numFmtId="0" fontId="0" fillId="9" borderId="37" xfId="0" applyFill="1" applyBorder="1" applyAlignment="1">
      <alignment horizontal="center"/>
    </xf>
    <xf numFmtId="41" fontId="0" fillId="9" borderId="38" xfId="0" applyNumberFormat="1" applyFill="1" applyBorder="1" applyAlignment="1">
      <alignment horizontal="center"/>
    </xf>
    <xf numFmtId="44" fontId="0" fillId="9" borderId="38" xfId="0" applyNumberFormat="1" applyFill="1" applyBorder="1" applyAlignment="1">
      <alignment horizontal="center"/>
    </xf>
    <xf numFmtId="42" fontId="0" fillId="9" borderId="38" xfId="0" applyNumberFormat="1" applyFill="1" applyBorder="1" applyAlignment="1">
      <alignment horizontal="center"/>
    </xf>
    <xf numFmtId="0" fontId="0" fillId="9" borderId="38" xfId="0" applyFill="1" applyBorder="1" applyAlignment="1">
      <alignment horizontal="center"/>
    </xf>
    <xf numFmtId="0" fontId="0" fillId="0" borderId="49" xfId="0" applyBorder="1" applyAlignment="1">
      <alignment horizontal="center"/>
    </xf>
    <xf numFmtId="41" fontId="0" fillId="9" borderId="39" xfId="0" applyNumberFormat="1" applyFill="1" applyBorder="1" applyAlignment="1">
      <alignment horizontal="center"/>
    </xf>
    <xf numFmtId="43" fontId="0" fillId="0" borderId="0" xfId="0" applyNumberFormat="1" applyAlignment="1">
      <alignment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/>
    </xf>
    <xf numFmtId="41" fontId="0" fillId="0" borderId="52" xfId="0" applyNumberFormat="1" applyBorder="1" applyAlignment="1">
      <alignment/>
    </xf>
    <xf numFmtId="0" fontId="0" fillId="0" borderId="22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14" xfId="0" applyBorder="1" applyAlignment="1">
      <alignment horizontal="center"/>
    </xf>
    <xf numFmtId="0" fontId="0" fillId="0" borderId="36" xfId="0" applyBorder="1" applyAlignment="1">
      <alignment horizontal="center"/>
    </xf>
    <xf numFmtId="42" fontId="0" fillId="0" borderId="53" xfId="0" applyNumberFormat="1" applyBorder="1" applyAlignment="1">
      <alignment horizontal="center"/>
    </xf>
    <xf numFmtId="42" fontId="0" fillId="0" borderId="47" xfId="0" applyNumberFormat="1" applyBorder="1" applyAlignment="1">
      <alignment horizontal="center"/>
    </xf>
    <xf numFmtId="42" fontId="0" fillId="0" borderId="32" xfId="0" applyNumberFormat="1" applyBorder="1" applyAlignment="1">
      <alignment horizontal="center"/>
    </xf>
    <xf numFmtId="42" fontId="0" fillId="35" borderId="44" xfId="0" applyNumberFormat="1" applyFill="1" applyBorder="1" applyAlignment="1">
      <alignment horizontal="center"/>
    </xf>
    <xf numFmtId="42" fontId="0" fillId="0" borderId="36" xfId="0" applyNumberFormat="1" applyBorder="1" applyAlignment="1">
      <alignment horizontal="center"/>
    </xf>
    <xf numFmtId="0" fontId="43" fillId="0" borderId="11" xfId="0" applyFont="1" applyBorder="1" applyAlignment="1">
      <alignment horizontal="center"/>
    </xf>
    <xf numFmtId="0" fontId="0" fillId="0" borderId="35" xfId="0" applyBorder="1" applyAlignment="1">
      <alignment horizontal="center"/>
    </xf>
    <xf numFmtId="42" fontId="0" fillId="0" borderId="0" xfId="0" applyNumberFormat="1" applyBorder="1" applyAlignment="1">
      <alignment horizontal="center"/>
    </xf>
    <xf numFmtId="42" fontId="0" fillId="0" borderId="20" xfId="0" applyNumberFormat="1" applyBorder="1" applyAlignment="1">
      <alignment horizontal="center"/>
    </xf>
    <xf numFmtId="0" fontId="0" fillId="33" borderId="35" xfId="0" applyFill="1" applyBorder="1" applyAlignment="1">
      <alignment horizontal="center"/>
    </xf>
    <xf numFmtId="0" fontId="0" fillId="33" borderId="36" xfId="0" applyFill="1" applyBorder="1" applyAlignment="1">
      <alignment horizontal="center"/>
    </xf>
    <xf numFmtId="42" fontId="0" fillId="0" borderId="33" xfId="0" applyNumberFormat="1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42" fontId="0" fillId="0" borderId="56" xfId="0" applyNumberFormat="1" applyBorder="1" applyAlignment="1">
      <alignment horizontal="center"/>
    </xf>
    <xf numFmtId="0" fontId="0" fillId="0" borderId="57" xfId="0" applyBorder="1" applyAlignment="1">
      <alignment horizontal="center"/>
    </xf>
    <xf numFmtId="42" fontId="0" fillId="0" borderId="58" xfId="0" applyNumberFormat="1" applyBorder="1" applyAlignment="1">
      <alignment horizontal="center"/>
    </xf>
    <xf numFmtId="42" fontId="47" fillId="0" borderId="38" xfId="0" applyNumberFormat="1" applyFont="1" applyBorder="1" applyAlignment="1">
      <alignment horizontal="center"/>
    </xf>
    <xf numFmtId="42" fontId="47" fillId="0" borderId="39" xfId="0" applyNumberFormat="1" applyFont="1" applyBorder="1" applyAlignment="1">
      <alignment horizontal="center"/>
    </xf>
    <xf numFmtId="44" fontId="0" fillId="0" borderId="14" xfId="0" applyNumberFormat="1" applyBorder="1" applyAlignment="1">
      <alignment horizontal="center"/>
    </xf>
    <xf numFmtId="0" fontId="0" fillId="0" borderId="29" xfId="0" applyBorder="1" applyAlignment="1" quotePrefix="1">
      <alignment horizontal="center"/>
    </xf>
    <xf numFmtId="43" fontId="0" fillId="0" borderId="24" xfId="0" applyNumberFormat="1" applyBorder="1" applyAlignment="1">
      <alignment horizontal="center"/>
    </xf>
    <xf numFmtId="167" fontId="0" fillId="0" borderId="24" xfId="0" applyNumberFormat="1" applyBorder="1" applyAlignment="1">
      <alignment horizontal="center"/>
    </xf>
    <xf numFmtId="10" fontId="0" fillId="0" borderId="24" xfId="0" applyNumberFormat="1" applyBorder="1" applyAlignment="1">
      <alignment horizontal="center"/>
    </xf>
    <xf numFmtId="0" fontId="47" fillId="0" borderId="0" xfId="0" applyFont="1" applyAlignment="1">
      <alignment horizontal="center"/>
    </xf>
    <xf numFmtId="0" fontId="0" fillId="3" borderId="20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43" fillId="0" borderId="0" xfId="0" applyFont="1" applyAlignment="1">
      <alignment horizontal="left"/>
    </xf>
    <xf numFmtId="0" fontId="0" fillId="0" borderId="59" xfId="0" applyBorder="1" applyAlignment="1">
      <alignment horizontal="center"/>
    </xf>
    <xf numFmtId="0" fontId="0" fillId="0" borderId="0" xfId="0" applyFill="1" applyBorder="1" applyAlignment="1">
      <alignment horizontal="center"/>
    </xf>
    <xf numFmtId="42" fontId="0" fillId="0" borderId="47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48" fillId="0" borderId="0" xfId="0" applyFont="1" applyAlignment="1">
      <alignment horizontal="left"/>
    </xf>
    <xf numFmtId="0" fontId="49" fillId="0" borderId="0" xfId="0" applyFont="1" applyAlignment="1">
      <alignment horizontal="center"/>
    </xf>
    <xf numFmtId="9" fontId="0" fillId="0" borderId="44" xfId="0" applyNumberFormat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24" xfId="0" applyBorder="1" applyAlignment="1" quotePrefix="1">
      <alignment horizontal="center"/>
    </xf>
    <xf numFmtId="42" fontId="0" fillId="0" borderId="55" xfId="0" applyNumberFormat="1" applyBorder="1" applyAlignment="1">
      <alignment horizontal="center"/>
    </xf>
    <xf numFmtId="42" fontId="0" fillId="0" borderId="61" xfId="0" applyNumberFormat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51" xfId="0" applyBorder="1" applyAlignment="1">
      <alignment horizontal="center"/>
    </xf>
    <xf numFmtId="0" fontId="0" fillId="0" borderId="24" xfId="0" applyBorder="1" applyAlignment="1">
      <alignment/>
    </xf>
    <xf numFmtId="9" fontId="0" fillId="0" borderId="24" xfId="0" applyNumberFormat="1" applyBorder="1" applyAlignment="1">
      <alignment horizontal="center"/>
    </xf>
    <xf numFmtId="164" fontId="0" fillId="3" borderId="20" xfId="0" applyNumberFormat="1" applyFill="1" applyBorder="1" applyAlignment="1">
      <alignment horizontal="center"/>
    </xf>
    <xf numFmtId="0" fontId="50" fillId="0" borderId="0" xfId="0" applyFont="1" applyAlignment="1">
      <alignment horizontal="left"/>
    </xf>
    <xf numFmtId="41" fontId="0" fillId="0" borderId="38" xfId="0" applyNumberFormat="1" applyBorder="1" applyAlignment="1">
      <alignment horizontal="center"/>
    </xf>
    <xf numFmtId="41" fontId="0" fillId="0" borderId="0" xfId="0" applyNumberFormat="1" applyAlignment="1">
      <alignment horizontal="center"/>
    </xf>
    <xf numFmtId="42" fontId="0" fillId="35" borderId="11" xfId="0" applyNumberFormat="1" applyFill="1" applyBorder="1" applyAlignment="1">
      <alignment horizontal="center"/>
    </xf>
    <xf numFmtId="42" fontId="0" fillId="0" borderId="38" xfId="0" applyNumberFormat="1" applyBorder="1" applyAlignment="1">
      <alignment horizontal="center"/>
    </xf>
    <xf numFmtId="42" fontId="0" fillId="0" borderId="45" xfId="0" applyNumberFormat="1" applyBorder="1" applyAlignment="1">
      <alignment horizontal="center"/>
    </xf>
    <xf numFmtId="42" fontId="0" fillId="0" borderId="15" xfId="0" applyNumberFormat="1" applyBorder="1" applyAlignment="1">
      <alignment horizontal="center"/>
    </xf>
    <xf numFmtId="42" fontId="0" fillId="0" borderId="50" xfId="0" applyNumberFormat="1" applyBorder="1" applyAlignment="1">
      <alignment horizontal="center"/>
    </xf>
    <xf numFmtId="42" fontId="0" fillId="0" borderId="59" xfId="0" applyNumberFormat="1" applyBorder="1" applyAlignment="1">
      <alignment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left"/>
    </xf>
    <xf numFmtId="42" fontId="0" fillId="34" borderId="11" xfId="0" applyNumberFormat="1" applyFill="1" applyBorder="1" applyAlignment="1">
      <alignment horizontal="center"/>
    </xf>
    <xf numFmtId="9" fontId="0" fillId="0" borderId="40" xfId="0" applyNumberFormat="1" applyBorder="1" applyAlignment="1">
      <alignment horizontal="center"/>
    </xf>
    <xf numFmtId="0" fontId="0" fillId="0" borderId="62" xfId="0" applyBorder="1" applyAlignment="1">
      <alignment/>
    </xf>
    <xf numFmtId="0" fontId="0" fillId="33" borderId="10" xfId="0" applyFill="1" applyBorder="1" applyAlignment="1">
      <alignment/>
    </xf>
    <xf numFmtId="41" fontId="0" fillId="0" borderId="24" xfId="0" applyNumberFormat="1" applyBorder="1" applyAlignment="1">
      <alignment/>
    </xf>
    <xf numFmtId="41" fontId="0" fillId="0" borderId="39" xfId="0" applyNumberFormat="1" applyBorder="1" applyAlignment="1">
      <alignment/>
    </xf>
    <xf numFmtId="41" fontId="0" fillId="33" borderId="33" xfId="0" applyNumberFormat="1" applyFill="1" applyBorder="1" applyAlignment="1">
      <alignment/>
    </xf>
    <xf numFmtId="41" fontId="0" fillId="33" borderId="34" xfId="0" applyNumberFormat="1" applyFill="1" applyBorder="1" applyAlignment="1">
      <alignment/>
    </xf>
    <xf numFmtId="0" fontId="0" fillId="33" borderId="40" xfId="0" applyFill="1" applyBorder="1" applyAlignment="1">
      <alignment/>
    </xf>
    <xf numFmtId="41" fontId="0" fillId="34" borderId="33" xfId="0" applyNumberFormat="1" applyFill="1" applyBorder="1" applyAlignment="1">
      <alignment/>
    </xf>
    <xf numFmtId="0" fontId="0" fillId="34" borderId="40" xfId="0" applyFill="1" applyBorder="1" applyAlignment="1">
      <alignment/>
    </xf>
    <xf numFmtId="0" fontId="43" fillId="0" borderId="24" xfId="0" applyFont="1" applyBorder="1" applyAlignment="1">
      <alignment horizontal="center"/>
    </xf>
    <xf numFmtId="0" fontId="0" fillId="35" borderId="33" xfId="0" applyFill="1" applyBorder="1" applyAlignment="1">
      <alignment/>
    </xf>
    <xf numFmtId="0" fontId="0" fillId="35" borderId="40" xfId="0" applyFill="1" applyBorder="1" applyAlignment="1">
      <alignment/>
    </xf>
    <xf numFmtId="41" fontId="0" fillId="0" borderId="33" xfId="0" applyNumberFormat="1" applyBorder="1" applyAlignment="1">
      <alignment/>
    </xf>
    <xf numFmtId="41" fontId="0" fillId="0" borderId="40" xfId="0" applyNumberFormat="1" applyBorder="1" applyAlignment="1">
      <alignment/>
    </xf>
    <xf numFmtId="0" fontId="43" fillId="0" borderId="34" xfId="0" applyFont="1" applyBorder="1" applyAlignment="1">
      <alignment/>
    </xf>
    <xf numFmtId="41" fontId="43" fillId="0" borderId="34" xfId="0" applyNumberFormat="1" applyFont="1" applyBorder="1" applyAlignment="1">
      <alignment/>
    </xf>
    <xf numFmtId="0" fontId="43" fillId="0" borderId="40" xfId="0" applyFont="1" applyBorder="1" applyAlignment="1">
      <alignment/>
    </xf>
    <xf numFmtId="0" fontId="0" fillId="36" borderId="38" xfId="0" applyFill="1" applyBorder="1" applyAlignment="1">
      <alignment horizontal="center"/>
    </xf>
    <xf numFmtId="0" fontId="47" fillId="0" borderId="0" xfId="0" applyFont="1" applyAlignment="1">
      <alignment horizontal="left"/>
    </xf>
    <xf numFmtId="0" fontId="47" fillId="0" borderId="0" xfId="0" applyFont="1" applyAlignment="1">
      <alignment/>
    </xf>
    <xf numFmtId="0" fontId="34" fillId="0" borderId="0" xfId="45" applyAlignment="1">
      <alignment/>
    </xf>
    <xf numFmtId="0" fontId="0" fillId="36" borderId="11" xfId="0" applyFill="1" applyBorder="1" applyAlignment="1">
      <alignment horizontal="center"/>
    </xf>
    <xf numFmtId="10" fontId="0" fillId="0" borderId="11" xfId="0" applyNumberFormat="1" applyBorder="1" applyAlignment="1">
      <alignment horizontal="center"/>
    </xf>
    <xf numFmtId="43" fontId="0" fillId="0" borderId="11" xfId="0" applyNumberFormat="1" applyFill="1" applyBorder="1" applyAlignment="1">
      <alignment horizontal="center"/>
    </xf>
    <xf numFmtId="43" fontId="0" fillId="3" borderId="11" xfId="0" applyNumberFormat="1" applyFill="1" applyBorder="1" applyAlignment="1">
      <alignment horizontal="center"/>
    </xf>
    <xf numFmtId="0" fontId="47" fillId="0" borderId="51" xfId="0" applyFont="1" applyBorder="1" applyAlignment="1">
      <alignment/>
    </xf>
    <xf numFmtId="0" fontId="47" fillId="0" borderId="52" xfId="0" applyFont="1" applyBorder="1" applyAlignment="1">
      <alignment/>
    </xf>
    <xf numFmtId="0" fontId="47" fillId="0" borderId="59" xfId="0" applyFont="1" applyBorder="1" applyAlignment="1">
      <alignment/>
    </xf>
    <xf numFmtId="169" fontId="0" fillId="9" borderId="38" xfId="0" applyNumberFormat="1" applyFill="1" applyBorder="1" applyAlignment="1">
      <alignment horizontal="center"/>
    </xf>
    <xf numFmtId="44" fontId="0" fillId="34" borderId="24" xfId="0" applyNumberFormat="1" applyFill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9" borderId="38" xfId="0" applyNumberFormat="1" applyFill="1" applyBorder="1" applyAlignment="1">
      <alignment horizontal="center"/>
    </xf>
    <xf numFmtId="41" fontId="0" fillId="0" borderId="0" xfId="0" applyNumberFormat="1" applyBorder="1" applyAlignment="1">
      <alignment horizontal="center"/>
    </xf>
    <xf numFmtId="41" fontId="0" fillId="0" borderId="31" xfId="0" applyNumberFormat="1" applyBorder="1" applyAlignment="1">
      <alignment horizontal="center"/>
    </xf>
    <xf numFmtId="41" fontId="0" fillId="0" borderId="15" xfId="0" applyNumberFormat="1" applyBorder="1" applyAlignment="1">
      <alignment horizontal="center"/>
    </xf>
    <xf numFmtId="41" fontId="0" fillId="0" borderId="0" xfId="0" applyNumberFormat="1" applyAlignment="1">
      <alignment horizontal="left"/>
    </xf>
    <xf numFmtId="41" fontId="0" fillId="0" borderId="37" xfId="0" applyNumberFormat="1" applyBorder="1" applyAlignment="1">
      <alignment horizontal="center"/>
    </xf>
    <xf numFmtId="41" fontId="0" fillId="0" borderId="44" xfId="0" applyNumberFormat="1" applyBorder="1" applyAlignment="1">
      <alignment horizontal="center"/>
    </xf>
    <xf numFmtId="41" fontId="0" fillId="0" borderId="36" xfId="0" applyNumberFormat="1" applyBorder="1" applyAlignment="1">
      <alignment horizontal="center"/>
    </xf>
    <xf numFmtId="41" fontId="0" fillId="0" borderId="0" xfId="0" applyNumberFormat="1" applyAlignment="1" quotePrefix="1">
      <alignment horizontal="left"/>
    </xf>
    <xf numFmtId="41" fontId="0" fillId="0" borderId="51" xfId="0" applyNumberFormat="1" applyBorder="1" applyAlignment="1" quotePrefix="1">
      <alignment horizontal="left"/>
    </xf>
    <xf numFmtId="9" fontId="0" fillId="0" borderId="63" xfId="0" applyNumberFormat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0" fontId="0" fillId="0" borderId="46" xfId="0" applyBorder="1" applyAlignment="1">
      <alignment horizontal="center"/>
    </xf>
    <xf numFmtId="9" fontId="0" fillId="0" borderId="34" xfId="0" applyNumberFormat="1" applyBorder="1" applyAlignment="1">
      <alignment horizontal="center"/>
    </xf>
    <xf numFmtId="41" fontId="0" fillId="36" borderId="60" xfId="0" applyNumberFormat="1" applyFill="1" applyBorder="1" applyAlignment="1">
      <alignment/>
    </xf>
    <xf numFmtId="0" fontId="0" fillId="0" borderId="62" xfId="0" applyBorder="1" applyAlignment="1" quotePrefix="1">
      <alignment horizontal="center"/>
    </xf>
    <xf numFmtId="10" fontId="0" fillId="0" borderId="19" xfId="0" applyNumberFormat="1" applyBorder="1" applyAlignment="1">
      <alignment horizontal="center"/>
    </xf>
    <xf numFmtId="10" fontId="0" fillId="0" borderId="64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center"/>
    </xf>
    <xf numFmtId="42" fontId="0" fillId="0" borderId="65" xfId="0" applyNumberFormat="1" applyBorder="1" applyAlignment="1">
      <alignment horizontal="center"/>
    </xf>
    <xf numFmtId="0" fontId="43" fillId="0" borderId="13" xfId="0" applyFont="1" applyBorder="1" applyAlignment="1">
      <alignment horizontal="center"/>
    </xf>
    <xf numFmtId="42" fontId="43" fillId="0" borderId="17" xfId="0" applyNumberFormat="1" applyFont="1" applyBorder="1" applyAlignment="1">
      <alignment horizontal="center"/>
    </xf>
    <xf numFmtId="44" fontId="43" fillId="0" borderId="17" xfId="0" applyNumberFormat="1" applyFont="1" applyBorder="1" applyAlignment="1">
      <alignment horizontal="center"/>
    </xf>
    <xf numFmtId="0" fontId="52" fillId="0" borderId="13" xfId="0" applyFont="1" applyBorder="1" applyAlignment="1">
      <alignment horizontal="center"/>
    </xf>
    <xf numFmtId="41" fontId="0" fillId="34" borderId="24" xfId="0" applyNumberFormat="1" applyFill="1" applyBorder="1" applyAlignment="1">
      <alignment horizontal="center"/>
    </xf>
    <xf numFmtId="41" fontId="0" fillId="0" borderId="45" xfId="0" applyNumberFormat="1" applyBorder="1" applyAlignment="1">
      <alignment horizontal="center"/>
    </xf>
    <xf numFmtId="44" fontId="0" fillId="0" borderId="45" xfId="0" applyNumberFormat="1" applyBorder="1" applyAlignment="1">
      <alignment horizontal="center"/>
    </xf>
    <xf numFmtId="41" fontId="0" fillId="0" borderId="33" xfId="0" applyNumberFormat="1" applyBorder="1" applyAlignment="1">
      <alignment horizontal="right"/>
    </xf>
    <xf numFmtId="41" fontId="0" fillId="0" borderId="49" xfId="0" applyNumberFormat="1" applyBorder="1" applyAlignment="1">
      <alignment horizontal="center"/>
    </xf>
    <xf numFmtId="42" fontId="43" fillId="0" borderId="66" xfId="0" applyNumberFormat="1" applyFont="1" applyBorder="1" applyAlignment="1">
      <alignment horizontal="center"/>
    </xf>
    <xf numFmtId="0" fontId="43" fillId="0" borderId="37" xfId="0" applyFont="1" applyBorder="1" applyAlignment="1">
      <alignment horizontal="center"/>
    </xf>
    <xf numFmtId="42" fontId="0" fillId="0" borderId="17" xfId="0" applyNumberFormat="1" applyBorder="1" applyAlignment="1">
      <alignment horizontal="center"/>
    </xf>
    <xf numFmtId="44" fontId="0" fillId="0" borderId="27" xfId="0" applyNumberFormat="1" applyBorder="1" applyAlignment="1">
      <alignment horizontal="center"/>
    </xf>
    <xf numFmtId="44" fontId="0" fillId="0" borderId="48" xfId="0" applyNumberFormat="1" applyBorder="1" applyAlignment="1">
      <alignment horizontal="center"/>
    </xf>
    <xf numFmtId="44" fontId="0" fillId="0" borderId="47" xfId="0" applyNumberFormat="1" applyBorder="1" applyAlignment="1">
      <alignment horizontal="center"/>
    </xf>
    <xf numFmtId="44" fontId="0" fillId="0" borderId="32" xfId="0" applyNumberFormat="1" applyBorder="1" applyAlignment="1">
      <alignment horizontal="center"/>
    </xf>
    <xf numFmtId="41" fontId="0" fillId="0" borderId="26" xfId="0" applyNumberFormat="1" applyBorder="1" applyAlignment="1">
      <alignment horizontal="center"/>
    </xf>
    <xf numFmtId="170" fontId="0" fillId="0" borderId="0" xfId="0" applyNumberFormat="1" applyBorder="1" applyAlignment="1">
      <alignment horizontal="center"/>
    </xf>
    <xf numFmtId="41" fontId="0" fillId="0" borderId="0" xfId="0" applyNumberFormat="1" applyBorder="1" applyAlignment="1">
      <alignment/>
    </xf>
    <xf numFmtId="0" fontId="0" fillId="0" borderId="67" xfId="0" applyBorder="1" applyAlignment="1">
      <alignment horizontal="left"/>
    </xf>
    <xf numFmtId="9" fontId="0" fillId="0" borderId="24" xfId="0" applyNumberFormat="1" applyBorder="1" applyAlignment="1">
      <alignment/>
    </xf>
    <xf numFmtId="0" fontId="0" fillId="0" borderId="0" xfId="0" applyBorder="1" applyAlignment="1">
      <alignment horizontal="left"/>
    </xf>
    <xf numFmtId="0" fontId="53" fillId="0" borderId="37" xfId="0" applyFont="1" applyBorder="1" applyAlignment="1">
      <alignment horizontal="center"/>
    </xf>
    <xf numFmtId="0" fontId="53" fillId="0" borderId="38" xfId="0" applyFont="1" applyBorder="1" applyAlignment="1">
      <alignment horizontal="center"/>
    </xf>
    <xf numFmtId="42" fontId="53" fillId="0" borderId="39" xfId="0" applyNumberFormat="1" applyFont="1" applyBorder="1" applyAlignment="1">
      <alignment horizontal="center"/>
    </xf>
    <xf numFmtId="42" fontId="53" fillId="0" borderId="38" xfId="0" applyNumberFormat="1" applyFont="1" applyBorder="1" applyAlignment="1">
      <alignment horizontal="center"/>
    </xf>
    <xf numFmtId="0" fontId="0" fillId="37" borderId="57" xfId="0" applyFill="1" applyBorder="1" applyAlignment="1">
      <alignment horizontal="center"/>
    </xf>
    <xf numFmtId="0" fontId="0" fillId="37" borderId="68" xfId="0" applyFill="1" applyBorder="1" applyAlignment="1">
      <alignment/>
    </xf>
    <xf numFmtId="0" fontId="0" fillId="0" borderId="69" xfId="0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71" xfId="0" applyBorder="1" applyAlignment="1">
      <alignment horizontal="center"/>
    </xf>
    <xf numFmtId="0" fontId="0" fillId="0" borderId="15" xfId="0" applyFill="1" applyBorder="1" applyAlignment="1">
      <alignment horizontal="center"/>
    </xf>
    <xf numFmtId="41" fontId="0" fillId="0" borderId="55" xfId="0" applyNumberFormat="1" applyBorder="1" applyAlignment="1">
      <alignment horizontal="center"/>
    </xf>
    <xf numFmtId="0" fontId="0" fillId="33" borderId="57" xfId="0" applyFill="1" applyBorder="1" applyAlignment="1">
      <alignment horizontal="center"/>
    </xf>
    <xf numFmtId="0" fontId="0" fillId="0" borderId="72" xfId="0" applyBorder="1" applyAlignment="1">
      <alignment horizontal="center"/>
    </xf>
    <xf numFmtId="41" fontId="0" fillId="0" borderId="73" xfId="0" applyNumberFormat="1" applyBorder="1" applyAlignment="1">
      <alignment horizontal="center"/>
    </xf>
    <xf numFmtId="41" fontId="0" fillId="0" borderId="68" xfId="0" applyNumberFormat="1" applyBorder="1" applyAlignment="1">
      <alignment horizontal="center"/>
    </xf>
    <xf numFmtId="41" fontId="0" fillId="0" borderId="33" xfId="0" applyNumberFormat="1" applyBorder="1" applyAlignment="1">
      <alignment horizontal="center"/>
    </xf>
    <xf numFmtId="167" fontId="0" fillId="0" borderId="33" xfId="0" applyNumberFormat="1" applyBorder="1" applyAlignment="1">
      <alignment horizontal="center"/>
    </xf>
    <xf numFmtId="0" fontId="0" fillId="0" borderId="61" xfId="0" applyBorder="1" applyAlignment="1">
      <alignment horizontal="center"/>
    </xf>
    <xf numFmtId="41" fontId="0" fillId="0" borderId="67" xfId="0" applyNumberFormat="1" applyBorder="1" applyAlignment="1">
      <alignment horizontal="center"/>
    </xf>
    <xf numFmtId="41" fontId="0" fillId="0" borderId="74" xfId="0" applyNumberFormat="1" applyBorder="1" applyAlignment="1">
      <alignment horizontal="center"/>
    </xf>
    <xf numFmtId="42" fontId="0" fillId="0" borderId="74" xfId="0" applyNumberFormat="1" applyBorder="1" applyAlignment="1">
      <alignment horizontal="center"/>
    </xf>
    <xf numFmtId="168" fontId="0" fillId="0" borderId="74" xfId="0" applyNumberFormat="1" applyBorder="1" applyAlignment="1">
      <alignment horizontal="center"/>
    </xf>
    <xf numFmtId="10" fontId="0" fillId="0" borderId="75" xfId="0" applyNumberFormat="1" applyBorder="1" applyAlignment="1">
      <alignment horizontal="center"/>
    </xf>
    <xf numFmtId="10" fontId="0" fillId="0" borderId="63" xfId="0" applyNumberFormat="1" applyBorder="1" applyAlignment="1">
      <alignment horizontal="center"/>
    </xf>
    <xf numFmtId="0" fontId="0" fillId="37" borderId="44" xfId="0" applyFill="1" applyBorder="1" applyAlignment="1">
      <alignment/>
    </xf>
    <xf numFmtId="42" fontId="0" fillId="0" borderId="75" xfId="0" applyNumberFormat="1" applyBorder="1" applyAlignment="1">
      <alignment horizontal="center"/>
    </xf>
    <xf numFmtId="42" fontId="0" fillId="0" borderId="76" xfId="0" applyNumberFormat="1" applyBorder="1" applyAlignment="1">
      <alignment horizontal="center"/>
    </xf>
    <xf numFmtId="0" fontId="43" fillId="0" borderId="35" xfId="0" applyFont="1" applyBorder="1" applyAlignment="1">
      <alignment/>
    </xf>
    <xf numFmtId="42" fontId="43" fillId="0" borderId="36" xfId="0" applyNumberFormat="1" applyFont="1" applyBorder="1" applyAlignment="1">
      <alignment horizontal="center"/>
    </xf>
    <xf numFmtId="41" fontId="0" fillId="0" borderId="14" xfId="0" applyNumberFormat="1" applyBorder="1" applyAlignment="1">
      <alignment horizontal="center"/>
    </xf>
    <xf numFmtId="41" fontId="0" fillId="0" borderId="57" xfId="0" applyNumberFormat="1" applyBorder="1" applyAlignment="1">
      <alignment horizontal="center"/>
    </xf>
    <xf numFmtId="41" fontId="0" fillId="33" borderId="24" xfId="0" applyNumberFormat="1" applyFill="1" applyBorder="1" applyAlignment="1">
      <alignment horizontal="center"/>
    </xf>
    <xf numFmtId="167" fontId="0" fillId="0" borderId="0" xfId="0" applyNumberFormat="1" applyAlignment="1">
      <alignment horizontal="center"/>
    </xf>
    <xf numFmtId="43" fontId="0" fillId="0" borderId="0" xfId="0" applyNumberFormat="1" applyAlignment="1">
      <alignment horizontal="center"/>
    </xf>
    <xf numFmtId="0" fontId="43" fillId="0" borderId="25" xfId="0" applyFont="1" applyBorder="1" applyAlignment="1">
      <alignment horizontal="center"/>
    </xf>
    <xf numFmtId="0" fontId="43" fillId="0" borderId="29" xfId="0" applyFont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13" xfId="0" applyBorder="1" applyAlignment="1" quotePrefix="1">
      <alignment horizontal="center"/>
    </xf>
    <xf numFmtId="0" fontId="0" fillId="38" borderId="15" xfId="0" applyFill="1" applyBorder="1" applyAlignment="1">
      <alignment horizontal="center"/>
    </xf>
    <xf numFmtId="0" fontId="0" fillId="38" borderId="15" xfId="0" applyFill="1" applyBorder="1" applyAlignment="1">
      <alignment/>
    </xf>
    <xf numFmtId="0" fontId="0" fillId="38" borderId="17" xfId="0" applyFill="1" applyBorder="1" applyAlignment="1">
      <alignment/>
    </xf>
    <xf numFmtId="0" fontId="0" fillId="38" borderId="17" xfId="0" applyFill="1" applyBorder="1" applyAlignment="1">
      <alignment horizontal="center"/>
    </xf>
    <xf numFmtId="0" fontId="0" fillId="0" borderId="67" xfId="0" applyBorder="1" applyAlignment="1">
      <alignment horizontal="center"/>
    </xf>
    <xf numFmtId="164" fontId="0" fillId="34" borderId="67" xfId="0" applyNumberFormat="1" applyFill="1" applyBorder="1" applyAlignment="1">
      <alignment horizontal="center"/>
    </xf>
    <xf numFmtId="0" fontId="0" fillId="38" borderId="13" xfId="0" applyFill="1" applyBorder="1" applyAlignment="1">
      <alignment horizontal="center"/>
    </xf>
    <xf numFmtId="42" fontId="0" fillId="33" borderId="67" xfId="0" applyNumberFormat="1" applyFill="1" applyBorder="1" applyAlignment="1">
      <alignment horizontal="center"/>
    </xf>
    <xf numFmtId="0" fontId="0" fillId="0" borderId="62" xfId="0" applyBorder="1" applyAlignment="1">
      <alignment horizontal="center"/>
    </xf>
    <xf numFmtId="42" fontId="47" fillId="0" borderId="0" xfId="0" applyNumberFormat="1" applyFont="1" applyBorder="1" applyAlignment="1">
      <alignment horizontal="center"/>
    </xf>
    <xf numFmtId="0" fontId="0" fillId="38" borderId="0" xfId="0" applyFill="1" applyBorder="1" applyAlignment="1">
      <alignment horizontal="center"/>
    </xf>
    <xf numFmtId="164" fontId="0" fillId="34" borderId="0" xfId="0" applyNumberFormat="1" applyFill="1" applyBorder="1" applyAlignment="1">
      <alignment horizontal="center"/>
    </xf>
    <xf numFmtId="42" fontId="0" fillId="34" borderId="14" xfId="0" applyNumberFormat="1" applyFill="1" applyBorder="1" applyAlignment="1">
      <alignment horizontal="center"/>
    </xf>
    <xf numFmtId="42" fontId="53" fillId="0" borderId="0" xfId="0" applyNumberFormat="1" applyFont="1" applyBorder="1" applyAlignment="1">
      <alignment horizontal="center"/>
    </xf>
    <xf numFmtId="0" fontId="0" fillId="0" borderId="64" xfId="0" applyBorder="1" applyAlignment="1">
      <alignment horizontal="center"/>
    </xf>
    <xf numFmtId="41" fontId="0" fillId="9" borderId="0" xfId="0" applyNumberFormat="1" applyFill="1" applyBorder="1" applyAlignment="1">
      <alignment horizontal="center"/>
    </xf>
    <xf numFmtId="44" fontId="0" fillId="0" borderId="0" xfId="0" applyNumberFormat="1" applyBorder="1" applyAlignment="1">
      <alignment horizontal="center"/>
    </xf>
    <xf numFmtId="44" fontId="0" fillId="33" borderId="73" xfId="0" applyNumberFormat="1" applyFill="1" applyBorder="1" applyAlignment="1">
      <alignment horizontal="center"/>
    </xf>
    <xf numFmtId="44" fontId="0" fillId="34" borderId="11" xfId="0" applyNumberFormat="1" applyFill="1" applyBorder="1" applyAlignment="1">
      <alignment horizontal="center"/>
    </xf>
    <xf numFmtId="44" fontId="0" fillId="0" borderId="23" xfId="0" applyNumberFormat="1" applyBorder="1" applyAlignment="1">
      <alignment horizontal="center"/>
    </xf>
    <xf numFmtId="9" fontId="0" fillId="0" borderId="0" xfId="0" applyNumberFormat="1" applyBorder="1" applyAlignment="1">
      <alignment/>
    </xf>
    <xf numFmtId="0" fontId="0" fillId="0" borderId="77" xfId="0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scilien@u-paris10.fr" TargetMode="External" /><Relationship Id="rId2" Type="http://schemas.openxmlformats.org/officeDocument/2006/relationships/hyperlink" Target="mailto:jscilien@u-paris10.fr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448"/>
  <sheetViews>
    <sheetView tabSelected="1" zoomScalePageLayoutView="0" workbookViewId="0" topLeftCell="C385">
      <selection activeCell="H404" sqref="H404"/>
    </sheetView>
  </sheetViews>
  <sheetFormatPr defaultColWidth="11.421875" defaultRowHeight="15"/>
  <cols>
    <col min="2" max="2" width="28.28125" style="0" customWidth="1"/>
    <col min="3" max="3" width="28.140625" style="0" customWidth="1"/>
    <col min="4" max="4" width="22.00390625" style="0" customWidth="1"/>
    <col min="5" max="5" width="16.00390625" style="0" customWidth="1"/>
    <col min="6" max="6" width="14.28125" style="0" customWidth="1"/>
    <col min="7" max="7" width="15.140625" style="0" customWidth="1"/>
    <col min="8" max="8" width="22.140625" style="0" customWidth="1"/>
    <col min="9" max="9" width="28.8515625" style="0" customWidth="1"/>
    <col min="10" max="10" width="17.28125" style="0" customWidth="1"/>
    <col min="11" max="12" width="16.00390625" style="0" customWidth="1"/>
    <col min="13" max="13" width="11.7109375" style="0" bestFit="1" customWidth="1"/>
    <col min="14" max="14" width="20.57421875" style="0" customWidth="1"/>
    <col min="15" max="15" width="11.7109375" style="0" bestFit="1" customWidth="1"/>
    <col min="17" max="17" width="12.8515625" style="0" bestFit="1" customWidth="1"/>
    <col min="21" max="21" width="16.28125" style="0" customWidth="1"/>
  </cols>
  <sheetData>
    <row r="2" ht="15">
      <c r="G2" s="199" t="s">
        <v>181</v>
      </c>
    </row>
    <row r="3" ht="15">
      <c r="D3" s="199" t="s">
        <v>181</v>
      </c>
    </row>
    <row r="5" ht="15.75" thickBot="1"/>
    <row r="6" spans="1:15" ht="15">
      <c r="A6" s="34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9"/>
    </row>
    <row r="7" spans="1:15" ht="15">
      <c r="A7" s="60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1"/>
    </row>
    <row r="8" spans="1:15" ht="15">
      <c r="A8" s="60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1"/>
    </row>
    <row r="9" spans="1:15" ht="15">
      <c r="A9" s="60"/>
      <c r="B9" s="36" t="s">
        <v>66</v>
      </c>
      <c r="C9" s="37"/>
      <c r="D9" s="102" t="s">
        <v>0</v>
      </c>
      <c r="E9" s="6"/>
      <c r="F9" s="6"/>
      <c r="G9" s="6"/>
      <c r="H9" s="6"/>
      <c r="I9" s="6"/>
      <c r="J9" s="102" t="s">
        <v>3</v>
      </c>
      <c r="K9" s="6"/>
      <c r="L9" s="6"/>
      <c r="M9" s="6"/>
      <c r="N9" s="6"/>
      <c r="O9" s="61"/>
    </row>
    <row r="10" spans="1:15" ht="15">
      <c r="A10" s="60"/>
      <c r="D10" s="4"/>
      <c r="E10" s="6"/>
      <c r="F10" s="6"/>
      <c r="G10" s="6"/>
      <c r="H10" s="6"/>
      <c r="I10" s="6"/>
      <c r="J10" s="4"/>
      <c r="K10" s="6"/>
      <c r="L10" s="6"/>
      <c r="M10" s="6"/>
      <c r="N10" s="6"/>
      <c r="O10" s="61"/>
    </row>
    <row r="11" spans="1:15" ht="15">
      <c r="A11" s="60"/>
      <c r="B11" s="6"/>
      <c r="C11" s="6"/>
      <c r="D11" s="4"/>
      <c r="E11" s="6"/>
      <c r="F11" s="6"/>
      <c r="G11" s="1" t="s">
        <v>28</v>
      </c>
      <c r="H11" s="6"/>
      <c r="I11" s="6"/>
      <c r="J11" s="1" t="s">
        <v>28</v>
      </c>
      <c r="K11" s="6"/>
      <c r="L11" s="6"/>
      <c r="M11" s="6"/>
      <c r="N11" s="6"/>
      <c r="O11" s="61"/>
    </row>
    <row r="12" spans="1:15" ht="15">
      <c r="A12" s="60"/>
      <c r="B12" s="6"/>
      <c r="C12" s="8"/>
      <c r="D12" s="4"/>
      <c r="E12" s="8"/>
      <c r="F12" s="6"/>
      <c r="G12" s="7" t="s">
        <v>29</v>
      </c>
      <c r="H12" s="6"/>
      <c r="I12" s="6"/>
      <c r="J12" s="7" t="s">
        <v>29</v>
      </c>
      <c r="K12" s="6"/>
      <c r="L12" s="6"/>
      <c r="M12" s="6"/>
      <c r="N12" s="6"/>
      <c r="O12" s="61"/>
    </row>
    <row r="13" spans="1:15" ht="15.75" thickBot="1">
      <c r="A13" s="60"/>
      <c r="B13" s="6"/>
      <c r="C13" s="6"/>
      <c r="D13" s="5"/>
      <c r="E13" s="8"/>
      <c r="F13" s="6" t="s">
        <v>56</v>
      </c>
      <c r="G13" s="2"/>
      <c r="H13" s="6"/>
      <c r="I13" s="6"/>
      <c r="J13" s="2"/>
      <c r="L13" s="8" t="s">
        <v>62</v>
      </c>
      <c r="M13" s="6"/>
      <c r="N13" s="6"/>
      <c r="O13" s="61"/>
    </row>
    <row r="14" spans="1:15" ht="15.75" thickBot="1">
      <c r="A14" s="60"/>
      <c r="B14" s="34" t="s">
        <v>24</v>
      </c>
      <c r="C14" s="38" t="s">
        <v>18</v>
      </c>
      <c r="D14" s="12"/>
      <c r="E14" s="11"/>
      <c r="F14" s="15" t="s">
        <v>49</v>
      </c>
      <c r="G14" s="38" t="s">
        <v>1</v>
      </c>
      <c r="H14" s="14"/>
      <c r="I14" s="80"/>
      <c r="J14" s="38" t="s">
        <v>1</v>
      </c>
      <c r="K14" s="14"/>
      <c r="L14" s="15"/>
      <c r="M14" s="56"/>
      <c r="N14" s="130" t="s">
        <v>7</v>
      </c>
      <c r="O14" s="61"/>
    </row>
    <row r="15" spans="1:15" ht="16.5" thickBot="1" thickTop="1">
      <c r="A15" s="60"/>
      <c r="B15" s="35" t="s">
        <v>25</v>
      </c>
      <c r="C15" s="39" t="s">
        <v>19</v>
      </c>
      <c r="D15" s="13" t="s">
        <v>5</v>
      </c>
      <c r="E15" s="6"/>
      <c r="F15" s="6"/>
      <c r="G15" s="39" t="s">
        <v>2</v>
      </c>
      <c r="H15" s="9"/>
      <c r="I15" s="6"/>
      <c r="J15" s="39" t="s">
        <v>4</v>
      </c>
      <c r="K15" s="6"/>
      <c r="L15" s="312"/>
      <c r="M15" s="6"/>
      <c r="N15" s="131" t="s">
        <v>234</v>
      </c>
      <c r="O15" s="61"/>
    </row>
    <row r="16" spans="1:15" ht="15">
      <c r="A16" s="60"/>
      <c r="B16" s="6"/>
      <c r="C16" s="6"/>
      <c r="D16" s="3"/>
      <c r="E16" s="6"/>
      <c r="F16" s="6"/>
      <c r="H16" s="10"/>
      <c r="I16" s="6"/>
      <c r="J16" s="17"/>
      <c r="K16" s="6"/>
      <c r="L16" s="4"/>
      <c r="M16" s="6"/>
      <c r="N16" s="58"/>
      <c r="O16" s="61"/>
    </row>
    <row r="17" spans="1:15" ht="15">
      <c r="A17" s="60"/>
      <c r="B17" s="6"/>
      <c r="C17" s="8" t="s">
        <v>9</v>
      </c>
      <c r="D17" s="4" t="s">
        <v>27</v>
      </c>
      <c r="E17" s="6"/>
      <c r="F17" s="6"/>
      <c r="H17" s="10"/>
      <c r="I17" s="6"/>
      <c r="J17" s="4"/>
      <c r="K17" s="6"/>
      <c r="L17" s="4"/>
      <c r="M17" s="6"/>
      <c r="N17" s="6"/>
      <c r="O17" s="61"/>
    </row>
    <row r="18" spans="1:15" ht="15">
      <c r="A18" s="60"/>
      <c r="B18" s="6"/>
      <c r="C18" s="6"/>
      <c r="D18" s="5"/>
      <c r="E18" s="6"/>
      <c r="F18" s="6"/>
      <c r="G18" s="6"/>
      <c r="H18" s="10"/>
      <c r="I18" s="6"/>
      <c r="J18" s="5"/>
      <c r="K18" s="6"/>
      <c r="L18" s="4"/>
      <c r="M18" s="6"/>
      <c r="N18" s="6"/>
      <c r="O18" s="61"/>
    </row>
    <row r="19" spans="1:15" ht="15">
      <c r="A19" s="60"/>
      <c r="B19" s="6"/>
      <c r="C19" s="3" t="s">
        <v>6</v>
      </c>
      <c r="D19" s="12"/>
      <c r="E19" s="6"/>
      <c r="F19" s="6"/>
      <c r="G19" s="3" t="s">
        <v>110</v>
      </c>
      <c r="H19" s="12"/>
      <c r="I19" s="6"/>
      <c r="J19" s="20" t="s">
        <v>103</v>
      </c>
      <c r="K19" s="6"/>
      <c r="L19" s="3" t="s">
        <v>20</v>
      </c>
      <c r="M19" s="12"/>
      <c r="N19" s="6"/>
      <c r="O19" s="61"/>
    </row>
    <row r="20" spans="1:15" ht="15">
      <c r="A20" s="60"/>
      <c r="B20" s="6"/>
      <c r="C20" s="4"/>
      <c r="D20" s="10"/>
      <c r="E20" s="6"/>
      <c r="F20" s="6"/>
      <c r="G20" s="4"/>
      <c r="H20" s="10" t="s">
        <v>213</v>
      </c>
      <c r="I20" s="6"/>
      <c r="J20" s="85" t="s">
        <v>102</v>
      </c>
      <c r="K20" s="6"/>
      <c r="L20" s="4"/>
      <c r="M20" s="10"/>
      <c r="O20" s="61"/>
    </row>
    <row r="21" spans="1:15" ht="15">
      <c r="A21" s="60"/>
      <c r="B21" s="6"/>
      <c r="C21" s="5"/>
      <c r="D21" s="13"/>
      <c r="E21" s="6"/>
      <c r="F21" s="6"/>
      <c r="G21" s="36" t="s">
        <v>111</v>
      </c>
      <c r="H21" s="86"/>
      <c r="I21" s="6"/>
      <c r="J21" s="21"/>
      <c r="K21" s="6"/>
      <c r="L21" s="5"/>
      <c r="M21" s="13"/>
      <c r="O21" s="61"/>
    </row>
    <row r="22" spans="1:15" ht="15.75" thickBot="1">
      <c r="A22" s="35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3"/>
    </row>
    <row r="24" ht="15">
      <c r="C24" t="s">
        <v>8</v>
      </c>
    </row>
    <row r="25" ht="15">
      <c r="D25" s="180" t="s">
        <v>156</v>
      </c>
    </row>
    <row r="26" spans="4:5" ht="15">
      <c r="D26" s="3" t="s">
        <v>157</v>
      </c>
      <c r="E26" s="12"/>
    </row>
    <row r="27" spans="4:6" ht="15">
      <c r="D27" s="36" t="s">
        <v>158</v>
      </c>
      <c r="E27" s="37"/>
      <c r="F27" s="86"/>
    </row>
    <row r="28" spans="4:6" ht="15">
      <c r="D28" s="3" t="s">
        <v>161</v>
      </c>
      <c r="E28" s="179"/>
      <c r="F28" s="12"/>
    </row>
    <row r="29" spans="4:7" ht="15">
      <c r="D29" s="36" t="s">
        <v>159</v>
      </c>
      <c r="E29" s="37"/>
      <c r="F29" s="37"/>
      <c r="G29" s="86"/>
    </row>
    <row r="31" spans="4:7" ht="15">
      <c r="D31" s="36" t="s">
        <v>160</v>
      </c>
      <c r="E31" s="37"/>
      <c r="F31" s="37"/>
      <c r="G31" s="86"/>
    </row>
    <row r="32" spans="2:25" ht="15.75" thickBot="1">
      <c r="B32" s="16"/>
      <c r="C32" s="16"/>
      <c r="D32" s="180" t="s">
        <v>102</v>
      </c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</row>
    <row r="33" spans="2:25" ht="15">
      <c r="B33" s="16"/>
      <c r="C33" s="16"/>
      <c r="D33" s="36" t="s">
        <v>162</v>
      </c>
      <c r="E33" s="37"/>
      <c r="F33" s="37"/>
      <c r="G33" s="86"/>
      <c r="H33" s="16"/>
      <c r="I33" s="16"/>
      <c r="J33" s="49" t="s">
        <v>35</v>
      </c>
      <c r="K33" s="50"/>
      <c r="L33" s="265"/>
      <c r="M33" s="49" t="s">
        <v>36</v>
      </c>
      <c r="N33" s="265"/>
      <c r="O33" s="53" t="s">
        <v>37</v>
      </c>
      <c r="Q33" s="127"/>
      <c r="R33" s="16"/>
      <c r="S33" s="16"/>
      <c r="T33" s="16"/>
      <c r="U33" s="16"/>
      <c r="V33" s="16"/>
      <c r="W33" s="16"/>
      <c r="X33" s="16"/>
      <c r="Y33" s="16"/>
    </row>
    <row r="34" spans="2:25" ht="15.75" thickBot="1">
      <c r="B34" s="16"/>
      <c r="C34" s="16"/>
      <c r="D34" s="36" t="s">
        <v>163</v>
      </c>
      <c r="E34" s="37"/>
      <c r="F34" s="37"/>
      <c r="G34" s="86"/>
      <c r="H34" s="16"/>
      <c r="I34" s="16"/>
      <c r="J34" s="259" t="s">
        <v>38</v>
      </c>
      <c r="K34" s="260" t="s">
        <v>39</v>
      </c>
      <c r="L34" s="299"/>
      <c r="M34" s="259" t="s">
        <v>2</v>
      </c>
      <c r="N34" s="229" t="s">
        <v>40</v>
      </c>
      <c r="O34" s="261" t="s">
        <v>41</v>
      </c>
      <c r="Q34" s="120" t="s">
        <v>42</v>
      </c>
      <c r="R34" s="16"/>
      <c r="S34" s="16"/>
      <c r="T34" s="16"/>
      <c r="U34" s="16"/>
      <c r="V34" s="16"/>
      <c r="W34" s="16"/>
      <c r="X34" s="16"/>
      <c r="Y34" s="16"/>
    </row>
    <row r="35" spans="2:25" ht="15.75" thickBot="1">
      <c r="B35" s="16"/>
      <c r="C35" s="16"/>
      <c r="H35" s="16"/>
      <c r="I35" s="41" t="s">
        <v>43</v>
      </c>
      <c r="J35" s="167">
        <v>95070</v>
      </c>
      <c r="K35" s="167">
        <v>256550</v>
      </c>
      <c r="L35" s="167"/>
      <c r="M35" s="167">
        <v>160470</v>
      </c>
      <c r="N35" s="266">
        <v>131980</v>
      </c>
      <c r="O35" s="271">
        <v>40560</v>
      </c>
      <c r="Q35" s="279">
        <f>SUM(J35:O35)</f>
        <v>684630</v>
      </c>
      <c r="R35" s="16"/>
      <c r="S35" s="16"/>
      <c r="T35" s="16"/>
      <c r="U35" s="16"/>
      <c r="V35" s="16"/>
      <c r="W35" s="16"/>
      <c r="X35" s="16"/>
      <c r="Y35" s="16"/>
    </row>
    <row r="36" spans="2:25" ht="15">
      <c r="B36" s="16"/>
      <c r="C36" s="16"/>
      <c r="D36" s="3" t="s">
        <v>164</v>
      </c>
      <c r="E36" s="179"/>
      <c r="F36" s="179"/>
      <c r="G36" s="12"/>
      <c r="H36" s="16"/>
      <c r="I36" s="133"/>
      <c r="J36" s="263"/>
      <c r="K36" s="263"/>
      <c r="L36" s="263"/>
      <c r="M36" s="263"/>
      <c r="N36" s="267"/>
      <c r="O36" s="216"/>
      <c r="Q36" s="135"/>
      <c r="R36" s="16"/>
      <c r="S36" s="16"/>
      <c r="T36" s="16"/>
      <c r="U36" s="16"/>
      <c r="V36" s="16"/>
      <c r="W36" s="16"/>
      <c r="X36" s="16"/>
      <c r="Y36" s="16"/>
    </row>
    <row r="37" spans="2:25" ht="15">
      <c r="B37" s="16"/>
      <c r="C37" s="16"/>
      <c r="D37" s="36" t="s">
        <v>165</v>
      </c>
      <c r="E37" s="37"/>
      <c r="F37" s="37"/>
      <c r="G37" s="37"/>
      <c r="H37" s="75"/>
      <c r="I37" s="25" t="s">
        <v>44</v>
      </c>
      <c r="J37" s="46" t="s">
        <v>124</v>
      </c>
      <c r="K37" s="46" t="s">
        <v>123</v>
      </c>
      <c r="L37" s="46"/>
      <c r="M37" s="46" t="s">
        <v>225</v>
      </c>
      <c r="N37" s="268" t="str">
        <f>M37</f>
        <v>énoncé </v>
      </c>
      <c r="O37" s="272" t="s">
        <v>226</v>
      </c>
      <c r="Q37" s="121"/>
      <c r="R37" s="16"/>
      <c r="S37" s="16"/>
      <c r="T37" s="16"/>
      <c r="U37" s="16"/>
      <c r="V37" s="16"/>
      <c r="W37" s="16"/>
      <c r="X37" s="16"/>
      <c r="Y37" s="16"/>
    </row>
    <row r="38" spans="2:25" ht="15">
      <c r="B38" s="16"/>
      <c r="C38" s="16"/>
      <c r="H38" s="16"/>
      <c r="I38" s="25"/>
      <c r="J38" s="46"/>
      <c r="K38" s="46"/>
      <c r="L38" s="46"/>
      <c r="M38" s="46"/>
      <c r="N38" s="268"/>
      <c r="O38" s="272"/>
      <c r="Q38" s="121"/>
      <c r="R38" s="16"/>
      <c r="S38" s="16"/>
      <c r="T38" s="16"/>
      <c r="U38" s="16"/>
      <c r="V38" s="16"/>
      <c r="W38" s="16"/>
      <c r="X38" s="16"/>
      <c r="Y38" s="16"/>
    </row>
    <row r="39" spans="2:25" ht="15">
      <c r="B39" s="16"/>
      <c r="C39" s="16"/>
      <c r="H39" s="16"/>
      <c r="I39" s="25" t="s">
        <v>45</v>
      </c>
      <c r="J39" s="46">
        <v>16500</v>
      </c>
      <c r="K39" s="142">
        <f>+K54</f>
        <v>14915</v>
      </c>
      <c r="L39" s="142"/>
      <c r="M39" s="46">
        <v>4520</v>
      </c>
      <c r="N39" s="268">
        <v>6600</v>
      </c>
      <c r="O39" s="273">
        <f>+T47</f>
        <v>2508600</v>
      </c>
      <c r="Q39" s="121"/>
      <c r="R39" s="16"/>
      <c r="S39" s="16"/>
      <c r="T39" s="16"/>
      <c r="U39" s="16"/>
      <c r="V39" s="16"/>
      <c r="W39" s="16"/>
      <c r="X39" s="16"/>
      <c r="Y39" s="16"/>
    </row>
    <row r="40" spans="2:25" ht="15">
      <c r="B40" s="16"/>
      <c r="C40" s="16"/>
      <c r="H40" s="16"/>
      <c r="I40" s="25"/>
      <c r="J40" s="46"/>
      <c r="K40" s="142"/>
      <c r="L40" s="142"/>
      <c r="M40" s="46"/>
      <c r="N40" s="268"/>
      <c r="O40" s="273"/>
      <c r="Q40" s="121"/>
      <c r="R40" s="16"/>
      <c r="S40" s="16"/>
      <c r="T40" s="16"/>
      <c r="U40" s="16"/>
      <c r="V40" s="16"/>
      <c r="W40" s="16"/>
      <c r="X40" s="16"/>
      <c r="Y40" s="16"/>
    </row>
    <row r="41" spans="2:25" ht="15">
      <c r="B41" s="16"/>
      <c r="C41" s="16"/>
      <c r="H41" s="16"/>
      <c r="I41" s="25" t="s">
        <v>46</v>
      </c>
      <c r="J41" s="143">
        <f>+J35/J39</f>
        <v>5.761818181818182</v>
      </c>
      <c r="K41" s="143">
        <f>+K35/K39</f>
        <v>17.20080455916862</v>
      </c>
      <c r="L41" s="143"/>
      <c r="M41" s="143">
        <f>M35/M39</f>
        <v>35.50221238938053</v>
      </c>
      <c r="N41" s="269">
        <f>N35/N39</f>
        <v>19.996969696969696</v>
      </c>
      <c r="O41" s="274">
        <f>O35/O39</f>
        <v>0.016168380770150682</v>
      </c>
      <c r="Q41" s="121">
        <f>(O41*O39)+(N39*N41)+(M39*M41)+(K39*K41)+(J39*J41)</f>
        <v>684630</v>
      </c>
      <c r="R41" s="16"/>
      <c r="S41" s="16">
        <v>1500</v>
      </c>
      <c r="T41" s="16"/>
      <c r="U41" s="16"/>
      <c r="V41" s="16"/>
      <c r="W41" s="16"/>
      <c r="X41" s="16"/>
      <c r="Y41" s="16"/>
    </row>
    <row r="42" spans="2:25" ht="15">
      <c r="B42" s="16"/>
      <c r="C42" s="16"/>
      <c r="H42" s="16"/>
      <c r="I42" s="25"/>
      <c r="J42" s="143"/>
      <c r="K42" s="143"/>
      <c r="L42" s="143"/>
      <c r="M42" s="143"/>
      <c r="N42" s="269"/>
      <c r="O42" s="274"/>
      <c r="Q42" s="121"/>
      <c r="R42" s="16"/>
      <c r="S42" s="16">
        <v>1490</v>
      </c>
      <c r="T42" s="16"/>
      <c r="U42" s="16"/>
      <c r="V42" s="16"/>
      <c r="W42" s="16"/>
      <c r="X42" s="16"/>
      <c r="Y42" s="16"/>
    </row>
    <row r="43" spans="2:25" ht="15.75" thickBot="1">
      <c r="B43" s="16"/>
      <c r="C43" s="16"/>
      <c r="H43" s="16"/>
      <c r="I43" s="51" t="s">
        <v>47</v>
      </c>
      <c r="J43" s="264">
        <v>5.76</v>
      </c>
      <c r="K43" s="264">
        <v>17.2</v>
      </c>
      <c r="L43" s="264"/>
      <c r="M43" s="136">
        <v>35.5</v>
      </c>
      <c r="N43" s="270">
        <v>20</v>
      </c>
      <c r="O43" s="275">
        <f>0.0162</f>
        <v>0.0162</v>
      </c>
      <c r="Q43" s="137">
        <f>(O39*O43)+(N39*N43)+(M39*M43)+(K39*K43)+(J39*J43)</f>
        <v>684677.3200000001</v>
      </c>
      <c r="R43" s="16"/>
      <c r="S43" s="16"/>
      <c r="T43" s="16">
        <f>+S42*S41</f>
        <v>2235000</v>
      </c>
      <c r="U43" s="16"/>
      <c r="V43" s="16"/>
      <c r="W43" s="16"/>
      <c r="X43" s="16"/>
      <c r="Y43" s="16"/>
    </row>
    <row r="44" spans="2:25" ht="15.75" thickBot="1">
      <c r="B44" s="16"/>
      <c r="C44" s="16"/>
      <c r="H44" s="152"/>
      <c r="I44" s="262"/>
      <c r="J44" s="262"/>
      <c r="K44" s="262"/>
      <c r="L44" s="262"/>
      <c r="M44" s="85"/>
      <c r="N44" s="104"/>
      <c r="O44" s="276"/>
      <c r="Q44" s="172"/>
      <c r="R44" s="16"/>
      <c r="S44" s="16">
        <v>7200</v>
      </c>
      <c r="T44" s="16"/>
      <c r="U44" s="16"/>
      <c r="V44" s="16"/>
      <c r="W44" s="16"/>
      <c r="X44" s="16"/>
      <c r="Y44" s="16"/>
    </row>
    <row r="45" spans="2:25" ht="15">
      <c r="B45" s="16"/>
      <c r="C45" s="16"/>
      <c r="H45" s="127" t="s">
        <v>48</v>
      </c>
      <c r="I45" s="133" t="s">
        <v>143</v>
      </c>
      <c r="J45" s="159">
        <f>(J41-J43)*J39</f>
        <v>30.000000000002025</v>
      </c>
      <c r="K45" s="159">
        <f>(K41-K43)*K39</f>
        <v>11.999999999985356</v>
      </c>
      <c r="L45" s="159"/>
      <c r="M45" s="159">
        <f>(M41-M43)*M39</f>
        <v>10.000000000002274</v>
      </c>
      <c r="N45" s="258"/>
      <c r="O45" s="277"/>
      <c r="Q45" s="280"/>
      <c r="R45" s="16"/>
      <c r="S45" s="16">
        <v>3800</v>
      </c>
      <c r="T45" s="16"/>
      <c r="U45" s="16"/>
      <c r="V45" s="16"/>
      <c r="W45" s="16"/>
      <c r="X45" s="16"/>
      <c r="Y45" s="16"/>
    </row>
    <row r="46" spans="2:25" ht="15.75" thickBot="1">
      <c r="B46" s="16"/>
      <c r="C46" s="16"/>
      <c r="H46" s="120"/>
      <c r="I46" s="51" t="s">
        <v>144</v>
      </c>
      <c r="J46" s="257"/>
      <c r="K46" s="257"/>
      <c r="L46" s="257"/>
      <c r="M46" s="257"/>
      <c r="N46" s="160">
        <f>(N41-N43)*N39</f>
        <v>-20.000000000005258</v>
      </c>
      <c r="O46" s="278">
        <f>(O41-O43)*O39</f>
        <v>-79.31999999999601</v>
      </c>
      <c r="Q46" s="281">
        <f>+M45+K45+J45+N46+O46</f>
        <v>-47.32000000001162</v>
      </c>
      <c r="R46" s="16"/>
      <c r="S46" s="16"/>
      <c r="T46" s="117">
        <f>(S44*S45)/100</f>
        <v>273600</v>
      </c>
      <c r="U46" s="16"/>
      <c r="V46" s="16"/>
      <c r="W46" s="16"/>
      <c r="X46" s="16"/>
      <c r="Y46" s="16"/>
    </row>
    <row r="47" spans="2:25" ht="15">
      <c r="B47" s="16"/>
      <c r="C47" s="16"/>
      <c r="H47" s="16"/>
      <c r="I47" s="16"/>
      <c r="J47" s="16"/>
      <c r="K47" s="286">
        <f>K39*K48</f>
        <v>11.999999999985356</v>
      </c>
      <c r="L47" s="286"/>
      <c r="M47" s="16"/>
      <c r="N47" s="128"/>
      <c r="O47" s="128"/>
      <c r="P47" s="16"/>
      <c r="Q47" s="16"/>
      <c r="R47" s="16"/>
      <c r="S47" s="16"/>
      <c r="T47" s="16">
        <f>T46+T43</f>
        <v>2508600</v>
      </c>
      <c r="U47" s="16"/>
      <c r="V47" s="16"/>
      <c r="W47" s="16"/>
      <c r="X47" s="16"/>
      <c r="Y47" s="16"/>
    </row>
    <row r="48" spans="2:25" ht="15">
      <c r="B48" s="16"/>
      <c r="C48" s="16"/>
      <c r="H48" s="16"/>
      <c r="I48" s="16"/>
      <c r="J48" s="16"/>
      <c r="K48" s="285">
        <f>K41-K43</f>
        <v>0.0008045591686212106</v>
      </c>
      <c r="L48" s="285"/>
      <c r="M48" s="16"/>
      <c r="N48" s="128"/>
      <c r="O48" s="128"/>
      <c r="P48" s="16"/>
      <c r="Q48" s="16"/>
      <c r="R48" s="16"/>
      <c r="S48" s="16"/>
      <c r="T48" s="16"/>
      <c r="U48" s="16"/>
      <c r="V48" s="16"/>
      <c r="W48" s="16"/>
      <c r="X48" s="16"/>
      <c r="Y48" s="16"/>
    </row>
    <row r="49" spans="2:25" ht="15">
      <c r="B49" s="16"/>
      <c r="C49" s="16"/>
      <c r="H49" s="16"/>
      <c r="I49" s="16"/>
      <c r="J49" s="16"/>
      <c r="K49" s="16"/>
      <c r="L49" s="16"/>
      <c r="M49" s="16"/>
      <c r="N49" s="128"/>
      <c r="O49" s="128"/>
      <c r="P49" s="16"/>
      <c r="Q49" s="16"/>
      <c r="R49" s="16"/>
      <c r="S49" s="16"/>
      <c r="T49" s="16"/>
      <c r="U49" s="16"/>
      <c r="V49" s="16"/>
      <c r="W49" s="16"/>
      <c r="X49" s="16"/>
      <c r="Y49" s="16"/>
    </row>
    <row r="50" spans="2:25" ht="15.75" thickBot="1">
      <c r="B50" s="16"/>
      <c r="C50" s="16"/>
      <c r="H50" s="16"/>
      <c r="I50" s="16">
        <v>16500</v>
      </c>
      <c r="J50" s="16"/>
      <c r="K50" s="87" t="s">
        <v>125</v>
      </c>
      <c r="L50" s="87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</row>
    <row r="51" spans="2:25" ht="15.75" thickBot="1">
      <c r="B51" s="16"/>
      <c r="C51" s="16"/>
      <c r="H51" s="16"/>
      <c r="I51" s="16"/>
      <c r="J51" s="16"/>
      <c r="K51" s="16">
        <v>14700</v>
      </c>
      <c r="L51" s="16"/>
      <c r="M51" s="16"/>
      <c r="P51" s="114" t="s">
        <v>14</v>
      </c>
      <c r="Q51" s="114" t="s">
        <v>15</v>
      </c>
      <c r="R51" s="173" t="s">
        <v>16</v>
      </c>
      <c r="V51" s="16"/>
      <c r="W51" s="16"/>
      <c r="X51" s="16"/>
      <c r="Y51" s="16"/>
    </row>
    <row r="52" spans="2:25" ht="15.75" thickTop="1">
      <c r="B52" s="16"/>
      <c r="C52" s="16"/>
      <c r="H52" s="16"/>
      <c r="I52" s="16">
        <v>14700</v>
      </c>
      <c r="J52" s="16"/>
      <c r="K52" s="87" t="s">
        <v>102</v>
      </c>
      <c r="L52" s="87"/>
      <c r="M52" s="16"/>
      <c r="O52" s="92" t="s">
        <v>114</v>
      </c>
      <c r="R52" s="101"/>
      <c r="V52" s="16"/>
      <c r="W52" s="16"/>
      <c r="X52" s="16"/>
      <c r="Y52" s="16"/>
    </row>
    <row r="53" spans="2:25" ht="15.75" thickBot="1">
      <c r="B53" s="16"/>
      <c r="C53" s="16"/>
      <c r="E53" s="16"/>
      <c r="F53" s="16"/>
      <c r="G53" s="16"/>
      <c r="H53" s="16"/>
      <c r="I53" s="16"/>
      <c r="J53" s="16"/>
      <c r="K53" s="117">
        <v>215</v>
      </c>
      <c r="L53" s="28"/>
      <c r="M53" s="16"/>
      <c r="O53" t="s">
        <v>115</v>
      </c>
      <c r="P53" s="99">
        <v>1500</v>
      </c>
      <c r="Q53" s="98">
        <v>1490</v>
      </c>
      <c r="R53" s="101">
        <f>+Q53*P53</f>
        <v>2235000</v>
      </c>
      <c r="V53" s="16"/>
      <c r="W53" s="16"/>
      <c r="X53" s="16"/>
      <c r="Y53" s="16"/>
    </row>
    <row r="54" spans="2:25" ht="15.75" thickTop="1">
      <c r="B54" s="16"/>
      <c r="C54" s="16"/>
      <c r="D54" s="40"/>
      <c r="E54" s="16"/>
      <c r="F54" s="16"/>
      <c r="G54" s="16"/>
      <c r="H54" s="16"/>
      <c r="I54" s="16"/>
      <c r="J54" s="16"/>
      <c r="K54" s="118">
        <f>+K51+K53</f>
        <v>14915</v>
      </c>
      <c r="L54" s="118"/>
      <c r="M54" s="40" t="s">
        <v>129</v>
      </c>
      <c r="O54" t="s">
        <v>116</v>
      </c>
      <c r="P54" s="100">
        <v>7200</v>
      </c>
      <c r="Q54" s="98">
        <v>38</v>
      </c>
      <c r="R54" s="101">
        <f>+Q54*P54</f>
        <v>273600</v>
      </c>
      <c r="V54" s="16"/>
      <c r="W54" s="16"/>
      <c r="X54" s="16"/>
      <c r="Y54" s="16"/>
    </row>
    <row r="55" spans="2:25" ht="15.75" thickBot="1">
      <c r="B55" s="16"/>
      <c r="C55" s="16"/>
      <c r="D55" s="40"/>
      <c r="E55" s="16"/>
      <c r="F55" s="16"/>
      <c r="G55" s="16"/>
      <c r="H55" s="16"/>
      <c r="I55" s="16"/>
      <c r="J55" s="16"/>
      <c r="K55" s="16"/>
      <c r="L55" s="16"/>
      <c r="M55" s="16"/>
      <c r="P55" s="95"/>
      <c r="Q55" s="95"/>
      <c r="R55" s="101"/>
      <c r="V55" s="16"/>
      <c r="W55" s="16"/>
      <c r="X55" s="16"/>
      <c r="Y55" s="16"/>
    </row>
    <row r="56" spans="2:25" ht="15.75" thickBot="1">
      <c r="B56" s="16"/>
      <c r="C56" s="16"/>
      <c r="D56" s="40"/>
      <c r="E56" s="16"/>
      <c r="F56" s="16"/>
      <c r="G56" s="16"/>
      <c r="H56" s="16"/>
      <c r="I56" s="16"/>
      <c r="J56" s="16"/>
      <c r="K56" s="16" t="s">
        <v>126</v>
      </c>
      <c r="L56" s="16"/>
      <c r="M56" s="16"/>
      <c r="O56" s="115" t="s">
        <v>117</v>
      </c>
      <c r="P56" s="116"/>
      <c r="Q56" s="116"/>
      <c r="R56" s="174">
        <f>+R53+R54</f>
        <v>2508600</v>
      </c>
      <c r="V56" s="16"/>
      <c r="W56" s="16"/>
      <c r="X56" s="16"/>
      <c r="Y56" s="16"/>
    </row>
    <row r="57" spans="2:25" ht="15">
      <c r="B57" s="16"/>
      <c r="C57" s="16"/>
      <c r="D57" s="40"/>
      <c r="E57" s="16"/>
      <c r="F57" s="16"/>
      <c r="G57" s="16"/>
      <c r="H57" s="16"/>
      <c r="I57" s="16"/>
      <c r="J57" s="16"/>
      <c r="K57" s="118">
        <v>1470</v>
      </c>
      <c r="L57" s="118"/>
      <c r="M57" s="16"/>
      <c r="N57" s="16"/>
      <c r="Q57" s="16"/>
      <c r="U57" s="101"/>
      <c r="V57" s="16"/>
      <c r="W57" s="16"/>
      <c r="X57" s="16"/>
      <c r="Y57" s="16"/>
    </row>
    <row r="58" spans="2:25" ht="15">
      <c r="B58" s="16"/>
      <c r="C58" s="16"/>
      <c r="D58" s="40"/>
      <c r="E58" s="16"/>
      <c r="F58" s="16"/>
      <c r="G58" s="16"/>
      <c r="H58" s="16"/>
      <c r="I58" s="16"/>
      <c r="J58" s="16"/>
      <c r="K58" s="16"/>
      <c r="L58" s="16"/>
      <c r="M58" s="16"/>
      <c r="N58" s="16"/>
      <c r="Q58" s="16"/>
      <c r="R58" s="16"/>
      <c r="S58" s="16"/>
      <c r="T58" s="16"/>
      <c r="U58" s="16"/>
      <c r="V58" s="16"/>
      <c r="W58" s="16"/>
      <c r="X58" s="16"/>
      <c r="Y58" s="16"/>
    </row>
    <row r="59" spans="2:25" ht="15">
      <c r="B59" s="16"/>
      <c r="C59" s="16"/>
      <c r="D59" s="40"/>
      <c r="E59" s="16"/>
      <c r="F59" s="16"/>
      <c r="G59" s="16"/>
      <c r="H59" s="16"/>
      <c r="I59" s="16"/>
      <c r="J59" s="16"/>
      <c r="K59" s="16" t="s">
        <v>127</v>
      </c>
      <c r="L59" s="16"/>
      <c r="M59" s="16"/>
      <c r="N59" s="16"/>
      <c r="Q59" s="16"/>
      <c r="R59" s="16"/>
      <c r="S59" s="16"/>
      <c r="T59" s="16"/>
      <c r="U59" s="16"/>
      <c r="V59" s="16"/>
      <c r="W59" s="16"/>
      <c r="X59" s="16"/>
      <c r="Y59" s="16"/>
    </row>
    <row r="60" spans="2:25" ht="15">
      <c r="B60" s="16"/>
      <c r="C60" s="16"/>
      <c r="D60" s="40"/>
      <c r="E60" s="16"/>
      <c r="F60" s="16"/>
      <c r="G60" s="16"/>
      <c r="H60" s="16"/>
      <c r="I60" s="16"/>
      <c r="J60" s="16"/>
      <c r="K60" s="118">
        <f>K57+K54</f>
        <v>16385</v>
      </c>
      <c r="L60" s="118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</row>
    <row r="61" spans="2:25" ht="15">
      <c r="B61" s="16"/>
      <c r="C61" s="16"/>
      <c r="D61" s="40"/>
      <c r="E61" s="16"/>
      <c r="F61" s="16"/>
      <c r="G61" s="16"/>
      <c r="H61" s="16"/>
      <c r="I61" s="16"/>
      <c r="J61" s="16"/>
      <c r="K61" s="16" t="s">
        <v>128</v>
      </c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</row>
    <row r="62" spans="2:25" ht="15">
      <c r="B62" s="16"/>
      <c r="C62" s="16"/>
      <c r="E62" s="16"/>
      <c r="F62" s="16"/>
      <c r="G62" s="16"/>
      <c r="H62" s="16"/>
      <c r="I62" s="16"/>
      <c r="J62" s="16"/>
      <c r="K62" s="16" t="s">
        <v>145</v>
      </c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</row>
    <row r="63" spans="2:25" ht="15">
      <c r="B63" s="16"/>
      <c r="C63" s="16"/>
      <c r="D63" s="40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</row>
    <row r="64" spans="2:25" ht="15">
      <c r="B64" s="16"/>
      <c r="C64" s="16"/>
      <c r="D64" t="s">
        <v>13</v>
      </c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</row>
    <row r="65" spans="2:25" ht="15">
      <c r="B65" s="16"/>
      <c r="C65" s="16"/>
      <c r="D65" t="s">
        <v>11</v>
      </c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</row>
    <row r="66" spans="2:25" ht="15">
      <c r="B66" s="16"/>
      <c r="C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</row>
    <row r="67" spans="2:25" ht="15">
      <c r="B67" s="16"/>
      <c r="C67" s="16"/>
      <c r="D67" s="18" t="s">
        <v>12</v>
      </c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</row>
    <row r="68" spans="2:25" ht="15">
      <c r="B68" s="16"/>
      <c r="C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</row>
    <row r="69" spans="2:25" ht="15.75" thickBot="1">
      <c r="B69" s="16"/>
      <c r="C69" s="16"/>
      <c r="D69" s="20"/>
      <c r="E69" s="20" t="s">
        <v>14</v>
      </c>
      <c r="F69" s="20" t="s">
        <v>15</v>
      </c>
      <c r="G69" s="20" t="s">
        <v>16</v>
      </c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</row>
    <row r="70" spans="2:25" ht="15">
      <c r="B70" s="16"/>
      <c r="C70" s="16"/>
      <c r="D70" s="287" t="s">
        <v>17</v>
      </c>
      <c r="E70" s="23"/>
      <c r="F70" s="23"/>
      <c r="G70" s="24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</row>
    <row r="71" spans="2:25" ht="15">
      <c r="B71" s="16"/>
      <c r="C71" s="16"/>
      <c r="D71" s="288"/>
      <c r="E71" s="28"/>
      <c r="F71" s="28"/>
      <c r="G71" s="289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</row>
    <row r="72" spans="2:25" ht="15">
      <c r="B72" s="16"/>
      <c r="C72" s="16"/>
      <c r="D72" s="25" t="s">
        <v>130</v>
      </c>
      <c r="E72" s="46">
        <v>16500</v>
      </c>
      <c r="F72" s="19">
        <v>12</v>
      </c>
      <c r="G72" s="121">
        <f>+F72*E72</f>
        <v>198000</v>
      </c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</row>
    <row r="73" spans="2:25" ht="15">
      <c r="B73" s="16"/>
      <c r="C73" s="16"/>
      <c r="D73" s="26" t="s">
        <v>131</v>
      </c>
      <c r="E73" s="46">
        <v>400</v>
      </c>
      <c r="F73" s="19">
        <v>32</v>
      </c>
      <c r="G73" s="121">
        <f>+F73*E73</f>
        <v>12800</v>
      </c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</row>
    <row r="74" spans="2:25" ht="15">
      <c r="B74" s="16"/>
      <c r="C74" s="16"/>
      <c r="D74" s="141"/>
      <c r="E74" s="211"/>
      <c r="F74" s="28"/>
      <c r="G74" s="122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</row>
    <row r="75" spans="2:25" ht="15">
      <c r="B75" s="16"/>
      <c r="C75" s="16"/>
      <c r="D75" s="27"/>
      <c r="E75" s="211"/>
      <c r="F75" s="28"/>
      <c r="G75" s="122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</row>
    <row r="76" spans="2:25" ht="15">
      <c r="B76" s="16"/>
      <c r="C76" s="16"/>
      <c r="D76" s="27"/>
      <c r="E76" s="211"/>
      <c r="F76" s="28"/>
      <c r="G76" s="122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</row>
    <row r="77" spans="2:25" ht="15">
      <c r="B77" s="16"/>
      <c r="C77" s="16"/>
      <c r="D77" s="288" t="s">
        <v>21</v>
      </c>
      <c r="E77" s="211"/>
      <c r="F77" s="28"/>
      <c r="G77" s="122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</row>
    <row r="78" spans="2:25" ht="15">
      <c r="B78" s="16"/>
      <c r="C78" s="16"/>
      <c r="D78" s="27"/>
      <c r="E78" s="211"/>
      <c r="F78" s="28"/>
      <c r="G78" s="122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</row>
    <row r="79" spans="2:25" ht="15">
      <c r="B79" s="16"/>
      <c r="C79" s="16"/>
      <c r="D79" s="25" t="s">
        <v>132</v>
      </c>
      <c r="E79" s="46">
        <v>16500</v>
      </c>
      <c r="F79" s="52">
        <f>+J43</f>
        <v>5.76</v>
      </c>
      <c r="G79" s="121">
        <f>+F79*E79</f>
        <v>95040</v>
      </c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</row>
    <row r="80" spans="2:25" ht="15">
      <c r="B80" s="16"/>
      <c r="C80" s="16"/>
      <c r="D80" s="25"/>
      <c r="E80" s="46"/>
      <c r="F80" s="52"/>
      <c r="G80" s="121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</row>
    <row r="81" spans="2:25" ht="15">
      <c r="B81" s="16"/>
      <c r="C81" s="16"/>
      <c r="D81" s="25" t="s">
        <v>39</v>
      </c>
      <c r="E81" s="46">
        <v>14700</v>
      </c>
      <c r="F81" s="52">
        <f>+K43</f>
        <v>17.2</v>
      </c>
      <c r="G81" s="121">
        <f>+F81*E81</f>
        <v>252840</v>
      </c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</row>
    <row r="82" spans="2:25" ht="15">
      <c r="B82" s="16"/>
      <c r="C82" s="16"/>
      <c r="D82" s="27"/>
      <c r="E82" s="211"/>
      <c r="F82" s="150"/>
      <c r="G82" s="151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</row>
    <row r="83" spans="2:25" ht="15">
      <c r="B83" s="16"/>
      <c r="C83" s="16"/>
      <c r="D83" s="27"/>
      <c r="E83" s="211"/>
      <c r="F83" s="28"/>
      <c r="G83" s="122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</row>
    <row r="84" spans="2:25" ht="15">
      <c r="B84" s="16"/>
      <c r="C84" s="16"/>
      <c r="D84" s="26" t="s">
        <v>133</v>
      </c>
      <c r="E84" s="46">
        <v>1470</v>
      </c>
      <c r="F84" s="19">
        <v>2.5</v>
      </c>
      <c r="G84" s="121">
        <f>F84*-E84</f>
        <v>-3675</v>
      </c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</row>
    <row r="85" spans="2:25" ht="15">
      <c r="B85" s="16"/>
      <c r="C85" s="16"/>
      <c r="D85" s="141"/>
      <c r="E85" s="211"/>
      <c r="F85" s="28"/>
      <c r="G85" s="122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</row>
    <row r="86" spans="2:25" ht="15">
      <c r="B86" s="16"/>
      <c r="C86" s="16"/>
      <c r="D86" s="141"/>
      <c r="E86" s="211"/>
      <c r="F86" s="28"/>
      <c r="G86" s="122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</row>
    <row r="87" spans="2:25" ht="15">
      <c r="B87" s="16"/>
      <c r="C87" s="16"/>
      <c r="D87" s="141"/>
      <c r="E87" s="211"/>
      <c r="F87" s="28"/>
      <c r="G87" s="122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</row>
    <row r="88" spans="2:25" ht="15.75" thickBot="1">
      <c r="B88" s="16"/>
      <c r="C88" s="16"/>
      <c r="D88" s="29"/>
      <c r="E88" s="212"/>
      <c r="F88" s="30"/>
      <c r="G88" s="123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</row>
    <row r="89" spans="2:25" ht="15">
      <c r="B89" s="16"/>
      <c r="C89" s="16"/>
      <c r="D89" s="21" t="s">
        <v>22</v>
      </c>
      <c r="E89" s="48">
        <v>14700</v>
      </c>
      <c r="F89" s="140">
        <f>+G89/E89</f>
        <v>37.75544217687075</v>
      </c>
      <c r="G89" s="124">
        <f>SUM(G72:G84)</f>
        <v>555005</v>
      </c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</row>
    <row r="90" spans="2:25" ht="15.75" thickBot="1">
      <c r="B90" s="16"/>
      <c r="C90" s="16"/>
      <c r="D90" s="16"/>
      <c r="E90" s="168"/>
      <c r="F90" s="16"/>
      <c r="G90" s="125" t="s">
        <v>23</v>
      </c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</row>
    <row r="91" spans="2:25" ht="15">
      <c r="B91" s="16"/>
      <c r="C91" s="16"/>
      <c r="D91" s="40"/>
      <c r="E91" s="168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</row>
    <row r="92" spans="2:25" ht="15">
      <c r="B92" s="16"/>
      <c r="C92" s="16"/>
      <c r="D92" s="40"/>
      <c r="E92" s="168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</row>
    <row r="93" spans="2:25" ht="15">
      <c r="B93" s="16"/>
      <c r="C93" s="16"/>
      <c r="D93" s="40"/>
      <c r="E93" s="168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</row>
    <row r="94" spans="2:25" ht="15">
      <c r="B94" s="16"/>
      <c r="C94" s="16"/>
      <c r="D94" s="40"/>
      <c r="E94" s="168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</row>
    <row r="95" spans="2:25" ht="15">
      <c r="B95" s="16"/>
      <c r="C95" s="16"/>
      <c r="D95" s="40"/>
      <c r="E95" s="168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</row>
    <row r="96" spans="2:25" ht="15">
      <c r="B96" s="16"/>
      <c r="C96" s="16"/>
      <c r="D96" s="40"/>
      <c r="E96" s="168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</row>
    <row r="97" spans="2:25" ht="15">
      <c r="B97" s="16"/>
      <c r="C97" s="16"/>
      <c r="D97" s="40"/>
      <c r="E97" s="168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</row>
    <row r="98" spans="2:25" ht="28.5">
      <c r="B98" s="16"/>
      <c r="C98" s="16"/>
      <c r="D98" s="153" t="s">
        <v>30</v>
      </c>
      <c r="E98" s="168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</row>
    <row r="99" spans="2:25" ht="15.75" thickBot="1">
      <c r="B99" s="16"/>
      <c r="C99" s="16"/>
      <c r="D99" s="40"/>
      <c r="E99" s="168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</row>
    <row r="100" spans="2:25" ht="15.75" thickBot="1">
      <c r="B100" s="16"/>
      <c r="C100" s="16"/>
      <c r="D100" s="41"/>
      <c r="E100" s="167" t="s">
        <v>14</v>
      </c>
      <c r="F100" s="42" t="s">
        <v>15</v>
      </c>
      <c r="G100" s="42" t="s">
        <v>16</v>
      </c>
      <c r="H100" s="42"/>
      <c r="I100" s="42" t="s">
        <v>14</v>
      </c>
      <c r="J100" s="42" t="s">
        <v>15</v>
      </c>
      <c r="K100" s="43" t="s">
        <v>16</v>
      </c>
      <c r="L100" s="28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</row>
    <row r="101" spans="2:25" ht="15">
      <c r="B101" s="16"/>
      <c r="C101" s="16"/>
      <c r="D101" s="103"/>
      <c r="E101" s="213"/>
      <c r="F101" s="85"/>
      <c r="G101" s="85"/>
      <c r="H101" s="85"/>
      <c r="I101" s="104"/>
      <c r="J101" s="130" t="s">
        <v>183</v>
      </c>
      <c r="K101" s="128"/>
      <c r="L101" s="128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</row>
    <row r="102" spans="2:25" ht="15.75" thickBot="1">
      <c r="B102" s="16"/>
      <c r="C102" s="16"/>
      <c r="D102" s="21" t="s">
        <v>10</v>
      </c>
      <c r="E102" s="48">
        <v>2000</v>
      </c>
      <c r="F102" s="77">
        <f>+G102/E102</f>
        <v>32.2825</v>
      </c>
      <c r="G102" s="84">
        <v>64565</v>
      </c>
      <c r="H102" s="126" t="s">
        <v>31</v>
      </c>
      <c r="I102" s="282">
        <v>13090</v>
      </c>
      <c r="J102" s="131">
        <v>37</v>
      </c>
      <c r="K102" s="129">
        <f>J102*I102</f>
        <v>484330</v>
      </c>
      <c r="L102" s="128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</row>
    <row r="103" spans="2:25" ht="15.75" thickBot="1">
      <c r="B103" s="16"/>
      <c r="C103" s="16"/>
      <c r="D103" s="19"/>
      <c r="E103" s="46"/>
      <c r="F103" s="57"/>
      <c r="G103" s="67"/>
      <c r="H103" s="20"/>
      <c r="I103" s="70"/>
      <c r="J103" s="85"/>
      <c r="K103" s="90"/>
      <c r="L103" s="128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</row>
    <row r="104" spans="2:25" ht="15">
      <c r="B104" s="16"/>
      <c r="C104" s="16"/>
      <c r="D104" s="19"/>
      <c r="E104" s="46"/>
      <c r="F104" s="57"/>
      <c r="G104" s="132"/>
      <c r="H104" s="133" t="s">
        <v>32</v>
      </c>
      <c r="I104" s="263">
        <v>10</v>
      </c>
      <c r="J104" s="134">
        <v>37</v>
      </c>
      <c r="K104" s="135">
        <f>J104*I104</f>
        <v>370</v>
      </c>
      <c r="L104" s="128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</row>
    <row r="105" spans="2:25" ht="15.75" thickBot="1">
      <c r="B105" s="16"/>
      <c r="C105" s="16"/>
      <c r="D105" s="19"/>
      <c r="E105" s="46"/>
      <c r="F105" s="57"/>
      <c r="G105" s="132"/>
      <c r="H105" s="51" t="s">
        <v>33</v>
      </c>
      <c r="I105" s="283">
        <f>I102+I104</f>
        <v>13100</v>
      </c>
      <c r="J105" s="136">
        <v>0.1</v>
      </c>
      <c r="K105" s="137">
        <f>J105*I105</f>
        <v>1310</v>
      </c>
      <c r="L105" s="128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</row>
    <row r="106" spans="2:25" ht="15">
      <c r="B106" s="16"/>
      <c r="C106" s="16"/>
      <c r="D106" s="19"/>
      <c r="E106" s="46"/>
      <c r="F106" s="57"/>
      <c r="G106" s="67"/>
      <c r="H106" s="21"/>
      <c r="I106" s="48"/>
      <c r="J106" s="21"/>
      <c r="K106" s="84"/>
      <c r="L106" s="128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</row>
    <row r="107" spans="2:25" ht="15">
      <c r="B107" s="16"/>
      <c r="C107" s="16"/>
      <c r="D107" s="19"/>
      <c r="E107" s="46"/>
      <c r="F107" s="57"/>
      <c r="G107" s="67"/>
      <c r="H107" s="19"/>
      <c r="I107" s="284" t="s">
        <v>182</v>
      </c>
      <c r="J107" s="19"/>
      <c r="K107" s="67"/>
      <c r="L107" s="128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</row>
    <row r="108" spans="2:25" ht="15">
      <c r="B108" s="16"/>
      <c r="C108" s="16"/>
      <c r="D108" s="19" t="s">
        <v>23</v>
      </c>
      <c r="E108" s="46">
        <v>14700</v>
      </c>
      <c r="F108" s="57">
        <f>+G108/E108</f>
        <v>37.75544217687075</v>
      </c>
      <c r="G108" s="67">
        <f>+G89</f>
        <v>555005</v>
      </c>
      <c r="H108" s="19" t="s">
        <v>34</v>
      </c>
      <c r="I108" s="284">
        <v>3600</v>
      </c>
      <c r="J108" s="19">
        <v>37.1</v>
      </c>
      <c r="K108" s="67">
        <f>+J108*I108</f>
        <v>133560</v>
      </c>
      <c r="L108" s="128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</row>
    <row r="109" spans="2:25" ht="15.75" thickBot="1">
      <c r="B109" s="16"/>
      <c r="C109" s="16"/>
      <c r="D109" s="20"/>
      <c r="E109" s="70"/>
      <c r="F109" s="20"/>
      <c r="G109" s="90"/>
      <c r="H109" s="20"/>
      <c r="I109" s="70"/>
      <c r="J109" s="20"/>
      <c r="K109" s="90"/>
      <c r="L109" s="128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</row>
    <row r="110" spans="2:25" ht="19.5" thickBot="1">
      <c r="B110" s="16"/>
      <c r="C110" s="16"/>
      <c r="D110" s="41" t="s">
        <v>22</v>
      </c>
      <c r="E110" s="167">
        <f>+E108+E102</f>
        <v>16700</v>
      </c>
      <c r="F110" s="96">
        <f>+G110/E110</f>
        <v>37.1</v>
      </c>
      <c r="G110" s="138">
        <f>+G108+G102</f>
        <v>619570</v>
      </c>
      <c r="H110" s="42" t="s">
        <v>22</v>
      </c>
      <c r="I110" s="167">
        <f>+I108+I102+I104</f>
        <v>16700</v>
      </c>
      <c r="J110" s="42">
        <f>+K110/I110</f>
        <v>37.1</v>
      </c>
      <c r="K110" s="139">
        <f>SUM(K101:K108)</f>
        <v>619570</v>
      </c>
      <c r="L110" s="300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</row>
    <row r="111" spans="2:25" ht="15">
      <c r="B111" s="16"/>
      <c r="C111" s="16"/>
      <c r="D111" s="16"/>
      <c r="E111" s="168"/>
      <c r="F111" s="16"/>
      <c r="G111" s="16"/>
      <c r="H111" s="16"/>
      <c r="I111" s="168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</row>
    <row r="112" spans="2:25" ht="15">
      <c r="B112" s="16"/>
      <c r="C112" s="16"/>
      <c r="D112" s="16"/>
      <c r="E112" s="168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</row>
    <row r="113" spans="2:25" ht="15">
      <c r="B113" s="16"/>
      <c r="C113" s="16" t="s">
        <v>50</v>
      </c>
      <c r="D113" s="16"/>
      <c r="E113" s="168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</row>
    <row r="114" spans="2:25" ht="15">
      <c r="B114" s="16"/>
      <c r="C114" s="16"/>
      <c r="D114" s="16"/>
      <c r="E114" s="168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</row>
    <row r="115" spans="2:25" ht="15">
      <c r="B115" s="16"/>
      <c r="C115" s="16"/>
      <c r="D115" s="16"/>
      <c r="E115" s="168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</row>
    <row r="116" spans="2:25" ht="15">
      <c r="B116" s="16"/>
      <c r="D116" s="148" t="s">
        <v>97</v>
      </c>
      <c r="E116" s="168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</row>
    <row r="117" spans="2:25" ht="15">
      <c r="B117" s="16"/>
      <c r="D117" s="148"/>
      <c r="E117" s="168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</row>
    <row r="118" spans="2:25" ht="15">
      <c r="B118" s="16"/>
      <c r="C118" s="16"/>
      <c r="D118" s="148" t="s">
        <v>98</v>
      </c>
      <c r="E118" s="168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</row>
    <row r="119" spans="2:25" ht="15">
      <c r="B119" s="16"/>
      <c r="C119" s="16"/>
      <c r="D119" s="148"/>
      <c r="E119" s="168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</row>
    <row r="120" spans="2:25" ht="15">
      <c r="B120" s="16"/>
      <c r="C120" s="16"/>
      <c r="D120" s="148"/>
      <c r="E120" s="168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</row>
    <row r="121" spans="2:25" ht="15">
      <c r="B121" s="16"/>
      <c r="C121" s="16"/>
      <c r="D121" s="148"/>
      <c r="E121" s="168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</row>
    <row r="122" spans="2:25" ht="21">
      <c r="B122" s="16"/>
      <c r="C122" s="16"/>
      <c r="D122" s="154" t="s">
        <v>60</v>
      </c>
      <c r="E122" s="168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</row>
    <row r="123" spans="2:25" ht="18.75">
      <c r="B123" s="16"/>
      <c r="C123" s="16"/>
      <c r="D123" s="145" t="s">
        <v>61</v>
      </c>
      <c r="E123" s="214" t="s">
        <v>99</v>
      </c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</row>
    <row r="124" spans="2:25" ht="15.75" thickBot="1">
      <c r="B124" s="16"/>
      <c r="C124" s="16"/>
      <c r="D124" s="16"/>
      <c r="E124" s="168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</row>
    <row r="125" spans="2:25" ht="15.75" thickBot="1">
      <c r="B125" s="16"/>
      <c r="C125" s="16"/>
      <c r="D125" s="16"/>
      <c r="E125" s="215" t="s">
        <v>14</v>
      </c>
      <c r="F125" s="42" t="s">
        <v>15</v>
      </c>
      <c r="G125" s="43" t="s">
        <v>16</v>
      </c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</row>
    <row r="126" spans="2:25" ht="15.75" thickBot="1">
      <c r="B126" s="16"/>
      <c r="C126" s="158" t="s">
        <v>140</v>
      </c>
      <c r="D126" s="75" t="s">
        <v>53</v>
      </c>
      <c r="E126" s="216" t="s">
        <v>96</v>
      </c>
      <c r="F126" s="146" t="s">
        <v>142</v>
      </c>
      <c r="G126" s="21"/>
      <c r="H126" s="16" t="str">
        <f>D126</f>
        <v>matière</v>
      </c>
      <c r="I126" s="162" t="s">
        <v>146</v>
      </c>
      <c r="J126" s="19">
        <v>260</v>
      </c>
      <c r="K126" s="164">
        <v>1</v>
      </c>
      <c r="L126" s="221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</row>
    <row r="127" spans="2:25" ht="15.75" thickBot="1">
      <c r="B127" s="16"/>
      <c r="C127" s="19"/>
      <c r="D127" s="75"/>
      <c r="E127" s="217"/>
      <c r="F127" s="147"/>
      <c r="G127" s="21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</row>
    <row r="128" spans="2:25" ht="15.75" thickBot="1">
      <c r="B128" s="16"/>
      <c r="C128" s="19"/>
      <c r="D128" s="45"/>
      <c r="E128" s="48"/>
      <c r="F128" s="32"/>
      <c r="G128" s="21"/>
      <c r="H128" s="16"/>
      <c r="I128" s="16"/>
      <c r="J128" s="19" t="s">
        <v>150</v>
      </c>
      <c r="K128" s="19" t="s">
        <v>151</v>
      </c>
      <c r="L128" s="19"/>
      <c r="M128" s="19" t="s">
        <v>96</v>
      </c>
      <c r="N128" s="19" t="s">
        <v>42</v>
      </c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</row>
    <row r="129" spans="2:25" ht="15.75" thickBot="1">
      <c r="B129" s="16"/>
      <c r="C129" s="158" t="s">
        <v>140</v>
      </c>
      <c r="D129" s="45" t="s">
        <v>54</v>
      </c>
      <c r="E129" s="46" t="s">
        <v>96</v>
      </c>
      <c r="F129" s="19"/>
      <c r="G129" s="19"/>
      <c r="H129" s="16" t="str">
        <f>D129</f>
        <v>mod</v>
      </c>
      <c r="I129" s="162" t="s">
        <v>96</v>
      </c>
      <c r="J129" s="19">
        <v>120</v>
      </c>
      <c r="K129" s="19">
        <v>0.2</v>
      </c>
      <c r="L129" s="19"/>
      <c r="M129" s="19">
        <f>K129*J129</f>
        <v>24</v>
      </c>
      <c r="N129" s="28">
        <f>+M129+M130</f>
        <v>94</v>
      </c>
      <c r="O129" s="19">
        <v>0.3</v>
      </c>
      <c r="P129" s="24">
        <f>O129*N129</f>
        <v>28.2</v>
      </c>
      <c r="Q129" s="16"/>
      <c r="R129" s="16"/>
      <c r="S129" s="16"/>
      <c r="T129" s="16"/>
      <c r="U129" s="16"/>
      <c r="V129" s="16"/>
      <c r="W129" s="16"/>
      <c r="X129" s="16"/>
      <c r="Y129" s="16"/>
    </row>
    <row r="130" spans="2:25" ht="15.75" thickBot="1">
      <c r="B130" s="16"/>
      <c r="C130" s="19"/>
      <c r="D130" s="45"/>
      <c r="E130" s="46"/>
      <c r="F130" s="19"/>
      <c r="G130" s="19"/>
      <c r="H130" s="16"/>
      <c r="I130" s="16"/>
      <c r="J130" s="19">
        <v>140</v>
      </c>
      <c r="K130" s="19">
        <v>0.5</v>
      </c>
      <c r="L130" s="19"/>
      <c r="M130" s="19">
        <f>K130*J130</f>
        <v>70</v>
      </c>
      <c r="N130" s="31" t="s">
        <v>96</v>
      </c>
      <c r="O130" s="16"/>
      <c r="P130" s="120" t="s">
        <v>215</v>
      </c>
      <c r="Q130" s="16"/>
      <c r="R130" s="16"/>
      <c r="S130" s="16"/>
      <c r="T130" s="16"/>
      <c r="U130" s="16"/>
      <c r="V130" s="16"/>
      <c r="W130" s="16"/>
      <c r="X130" s="16"/>
      <c r="Y130" s="16"/>
    </row>
    <row r="131" spans="2:25" ht="15.75" thickBot="1">
      <c r="B131" s="16"/>
      <c r="C131" s="19"/>
      <c r="D131" s="45"/>
      <c r="E131" s="46"/>
      <c r="F131" s="19"/>
      <c r="G131" s="19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</row>
    <row r="132" spans="2:25" ht="15.75" thickBot="1">
      <c r="B132" s="16"/>
      <c r="C132" s="158" t="s">
        <v>140</v>
      </c>
      <c r="D132" s="156" t="s">
        <v>55</v>
      </c>
      <c r="E132" s="46" t="s">
        <v>96</v>
      </c>
      <c r="F132" s="19"/>
      <c r="G132" s="19"/>
      <c r="H132" s="16" t="str">
        <f>D132</f>
        <v>CI</v>
      </c>
      <c r="I132" s="162" t="s">
        <v>96</v>
      </c>
      <c r="J132" s="19" t="s">
        <v>147</v>
      </c>
      <c r="K132" s="19" t="s">
        <v>147</v>
      </c>
      <c r="L132" s="19"/>
      <c r="M132" s="19" t="s">
        <v>147</v>
      </c>
      <c r="N132" s="19">
        <v>94</v>
      </c>
      <c r="O132" s="19" t="s">
        <v>147</v>
      </c>
      <c r="P132" s="19" t="s">
        <v>147</v>
      </c>
      <c r="Q132" s="28"/>
      <c r="R132" s="16"/>
      <c r="S132" s="16"/>
      <c r="T132" s="16"/>
      <c r="U132" s="16"/>
      <c r="V132" s="16"/>
      <c r="W132" s="16"/>
      <c r="X132" s="16"/>
      <c r="Y132" s="16"/>
    </row>
    <row r="133" spans="2:25" ht="15.75" thickBot="1">
      <c r="B133" s="16"/>
      <c r="C133" s="19"/>
      <c r="D133" s="47"/>
      <c r="E133" s="70"/>
      <c r="F133" s="20"/>
      <c r="G133" s="20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</row>
    <row r="134" spans="2:25" ht="15.75" thickBot="1">
      <c r="B134" s="16"/>
      <c r="C134" s="158" t="s">
        <v>141</v>
      </c>
      <c r="D134" s="157" t="s">
        <v>89</v>
      </c>
      <c r="E134" s="167"/>
      <c r="F134" s="42"/>
      <c r="G134" s="71" t="s">
        <v>58</v>
      </c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</row>
    <row r="135" spans="2:25" ht="15">
      <c r="B135" s="16"/>
      <c r="C135" s="16"/>
      <c r="D135" s="16"/>
      <c r="E135" s="168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</row>
    <row r="136" spans="2:25" ht="15">
      <c r="B136" s="16"/>
      <c r="C136" s="16"/>
      <c r="D136" s="16"/>
      <c r="E136" s="168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</row>
    <row r="137" spans="2:25" ht="15">
      <c r="B137" s="16"/>
      <c r="C137" s="16"/>
      <c r="E137" s="168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</row>
    <row r="138" spans="2:25" ht="15">
      <c r="B138" s="16"/>
      <c r="C138" s="16"/>
      <c r="E138" s="168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</row>
    <row r="139" spans="2:25" ht="15">
      <c r="B139" s="16"/>
      <c r="C139" s="16"/>
      <c r="D139" s="16"/>
      <c r="E139" s="168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</row>
    <row r="140" spans="2:25" ht="15">
      <c r="B140" s="16"/>
      <c r="C140" s="16"/>
      <c r="D140" t="s">
        <v>135</v>
      </c>
      <c r="E140" s="214" t="s">
        <v>77</v>
      </c>
      <c r="F140" s="16"/>
      <c r="G140" s="16"/>
      <c r="H140" s="16"/>
      <c r="I140" s="19"/>
      <c r="J140" s="19" t="s">
        <v>14</v>
      </c>
      <c r="K140" s="19" t="s">
        <v>15</v>
      </c>
      <c r="L140" s="19"/>
      <c r="M140" s="19" t="s">
        <v>16</v>
      </c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</row>
    <row r="141" spans="2:25" ht="15.75" thickBot="1">
      <c r="B141" s="16"/>
      <c r="C141" s="16"/>
      <c r="E141" s="214"/>
      <c r="F141" s="16"/>
      <c r="G141" s="16"/>
      <c r="H141" s="16"/>
      <c r="I141" s="229"/>
      <c r="J141" s="20"/>
      <c r="K141" s="20"/>
      <c r="L141" s="47"/>
      <c r="M141" s="47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</row>
    <row r="142" spans="2:25" ht="15.75" thickBot="1">
      <c r="B142" s="16"/>
      <c r="C142" s="16"/>
      <c r="E142" s="214" t="s">
        <v>91</v>
      </c>
      <c r="F142" s="16"/>
      <c r="G142" s="16"/>
      <c r="H142" s="16"/>
      <c r="I142" s="104" t="s">
        <v>232</v>
      </c>
      <c r="J142" s="291"/>
      <c r="K142" s="297"/>
      <c r="L142" s="301"/>
      <c r="M142" s="298">
        <f>K102</f>
        <v>484330</v>
      </c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</row>
    <row r="143" spans="2:25" ht="15">
      <c r="B143" s="16"/>
      <c r="C143" s="16"/>
      <c r="E143" s="214"/>
      <c r="F143" s="16"/>
      <c r="G143" s="16"/>
      <c r="H143" s="16"/>
      <c r="I143" s="104"/>
      <c r="J143" s="85"/>
      <c r="K143" s="85"/>
      <c r="L143" s="103"/>
      <c r="M143" s="103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</row>
    <row r="144" spans="2:25" ht="15">
      <c r="B144" s="16"/>
      <c r="C144" s="16"/>
      <c r="E144" s="214" t="s">
        <v>138</v>
      </c>
      <c r="F144" s="16"/>
      <c r="G144" s="16"/>
      <c r="H144" s="16"/>
      <c r="I144" s="4" t="s">
        <v>231</v>
      </c>
      <c r="J144" s="85" t="s">
        <v>214</v>
      </c>
      <c r="K144" s="292"/>
      <c r="L144" s="293"/>
      <c r="M144" s="293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</row>
    <row r="145" spans="2:25" ht="15">
      <c r="B145" s="16"/>
      <c r="C145" s="16"/>
      <c r="E145" s="214"/>
      <c r="F145" s="16"/>
      <c r="G145" s="16"/>
      <c r="H145" s="16"/>
      <c r="I145" s="290" t="s">
        <v>228</v>
      </c>
      <c r="J145" s="85">
        <v>-240</v>
      </c>
      <c r="K145" s="291"/>
      <c r="L145" s="294"/>
      <c r="M145" s="294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</row>
    <row r="146" spans="2:25" ht="15.75" thickBot="1">
      <c r="B146" s="16"/>
      <c r="C146" s="16"/>
      <c r="E146" s="218" t="s">
        <v>136</v>
      </c>
      <c r="F146" s="16"/>
      <c r="G146" s="16"/>
      <c r="H146" s="16"/>
      <c r="I146" s="290" t="s">
        <v>229</v>
      </c>
      <c r="J146" s="85">
        <v>260</v>
      </c>
      <c r="K146" s="291"/>
      <c r="L146" s="294"/>
      <c r="M146" s="294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</row>
    <row r="147" spans="2:25" ht="15.75" thickBot="1">
      <c r="B147" s="16"/>
      <c r="C147" s="16"/>
      <c r="E147" s="218"/>
      <c r="F147" s="16"/>
      <c r="G147" s="16"/>
      <c r="H147" s="16"/>
      <c r="I147" s="290" t="s">
        <v>230</v>
      </c>
      <c r="J147" s="295">
        <f>13000+J145+J146</f>
        <v>13020</v>
      </c>
      <c r="K147" s="296">
        <f>M142/J147</f>
        <v>37.19892473118279</v>
      </c>
      <c r="L147" s="302"/>
      <c r="M147" s="294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</row>
    <row r="148" spans="2:25" ht="15.75" thickBot="1">
      <c r="B148" s="16"/>
      <c r="C148" s="16"/>
      <c r="E148" s="219" t="s">
        <v>137</v>
      </c>
      <c r="F148" s="149"/>
      <c r="G148" s="16"/>
      <c r="H148" s="16"/>
      <c r="I148" s="119"/>
      <c r="J148" s="21"/>
      <c r="K148" s="21"/>
      <c r="L148" s="228"/>
      <c r="M148" s="228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</row>
    <row r="149" spans="2:25" ht="15">
      <c r="B149" s="16"/>
      <c r="C149" s="16"/>
      <c r="E149" s="214"/>
      <c r="F149" s="16"/>
      <c r="G149" s="16"/>
      <c r="H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</row>
    <row r="150" spans="2:25" ht="15">
      <c r="B150" s="16"/>
      <c r="C150" s="16"/>
      <c r="E150" s="214" t="s">
        <v>139</v>
      </c>
      <c r="F150" s="16"/>
      <c r="G150" s="16"/>
      <c r="H150" s="16"/>
      <c r="I150" s="66">
        <v>37.19892473118279</v>
      </c>
      <c r="J150" s="16" t="s">
        <v>78</v>
      </c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</row>
    <row r="151" spans="2:25" ht="15">
      <c r="B151" s="16"/>
      <c r="C151" s="16"/>
      <c r="E151" s="214"/>
      <c r="F151" s="16"/>
      <c r="G151" s="16"/>
      <c r="H151" s="16" t="s">
        <v>81</v>
      </c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</row>
    <row r="152" spans="2:25" ht="15">
      <c r="B152" s="16"/>
      <c r="C152" s="16"/>
      <c r="E152" s="214" t="s">
        <v>79</v>
      </c>
      <c r="F152" s="16" t="s">
        <v>80</v>
      </c>
      <c r="G152" s="67">
        <v>9671.720430107525</v>
      </c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</row>
    <row r="153" spans="2:25" ht="15">
      <c r="B153" s="16"/>
      <c r="C153" s="16"/>
      <c r="E153" s="161" t="s">
        <v>148</v>
      </c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</row>
    <row r="154" spans="2:25" ht="15">
      <c r="B154" s="16"/>
      <c r="C154" s="16"/>
      <c r="E154" s="161" t="s">
        <v>149</v>
      </c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</row>
    <row r="155" spans="2:25" ht="15">
      <c r="B155" s="16"/>
      <c r="C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</row>
    <row r="156" spans="2:25" ht="15.75" thickBot="1">
      <c r="B156" s="16"/>
      <c r="C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</row>
    <row r="157" spans="2:25" ht="15.75" thickBot="1">
      <c r="B157" s="16"/>
      <c r="C157" s="16"/>
      <c r="D157" s="16"/>
      <c r="E157" s="41" t="s">
        <v>14</v>
      </c>
      <c r="F157" s="42" t="s">
        <v>15</v>
      </c>
      <c r="G157" s="43" t="s">
        <v>16</v>
      </c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</row>
    <row r="158" spans="2:25" ht="15.75" thickBot="1">
      <c r="B158" s="16"/>
      <c r="C158" s="16"/>
      <c r="D158" s="44" t="s">
        <v>53</v>
      </c>
      <c r="E158" s="295" t="s">
        <v>88</v>
      </c>
      <c r="F158" s="165">
        <f>+K147</f>
        <v>37.19892473118279</v>
      </c>
      <c r="G158" s="84">
        <f>+G152</f>
        <v>9671.720430107525</v>
      </c>
      <c r="H158" s="16" t="s">
        <v>227</v>
      </c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</row>
    <row r="159" spans="2:25" ht="15">
      <c r="B159" s="16"/>
      <c r="C159" s="16"/>
      <c r="D159" s="44"/>
      <c r="E159" s="21" t="s">
        <v>134</v>
      </c>
      <c r="F159" s="147"/>
      <c r="G159" s="21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</row>
    <row r="160" spans="2:25" ht="15">
      <c r="B160" s="16"/>
      <c r="C160" s="16"/>
      <c r="D160" s="19"/>
      <c r="E160" s="21"/>
      <c r="F160" s="32"/>
      <c r="G160" s="21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</row>
    <row r="161" spans="2:25" ht="15">
      <c r="B161" s="16"/>
      <c r="C161" s="16"/>
      <c r="D161" s="19" t="s">
        <v>54</v>
      </c>
      <c r="E161" s="19">
        <v>28.2</v>
      </c>
      <c r="F161" s="19">
        <v>70</v>
      </c>
      <c r="G161" s="19">
        <f>F161*P129</f>
        <v>1974</v>
      </c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</row>
    <row r="162" spans="2:25" ht="15">
      <c r="B162" s="16"/>
      <c r="C162" s="16"/>
      <c r="D162" s="19"/>
      <c r="E162" s="19"/>
      <c r="F162" s="19"/>
      <c r="G162" s="19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</row>
    <row r="163" spans="2:25" ht="15">
      <c r="B163" s="16"/>
      <c r="C163" s="16"/>
      <c r="D163" s="55" t="s">
        <v>55</v>
      </c>
      <c r="E163" s="19">
        <f>E161</f>
        <v>28.2</v>
      </c>
      <c r="F163" s="19">
        <f>+M43</f>
        <v>35.5</v>
      </c>
      <c r="G163" s="19">
        <f>F163*E163</f>
        <v>1001.1</v>
      </c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</row>
    <row r="164" spans="2:25" ht="15.75" thickBot="1">
      <c r="B164" s="16"/>
      <c r="C164" s="16"/>
      <c r="D164" s="20"/>
      <c r="E164" s="20"/>
      <c r="F164" s="20"/>
      <c r="G164" s="20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</row>
    <row r="165" spans="2:25" ht="15.75" thickBot="1">
      <c r="B165" s="16"/>
      <c r="C165" s="16"/>
      <c r="D165" s="41" t="s">
        <v>89</v>
      </c>
      <c r="E165" s="42"/>
      <c r="F165" s="42"/>
      <c r="G165" s="91">
        <f>SUM(G158:G163)</f>
        <v>12646.820430107526</v>
      </c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</row>
    <row r="166" spans="2:25" ht="15">
      <c r="B166" s="16"/>
      <c r="C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</row>
    <row r="167" spans="2:25" ht="15">
      <c r="B167" s="16"/>
      <c r="C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</row>
    <row r="168" spans="2:25" ht="15">
      <c r="B168" s="16"/>
      <c r="C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</row>
    <row r="169" spans="2:25" ht="15">
      <c r="B169" s="16"/>
      <c r="C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</row>
    <row r="170" spans="2:25" ht="15">
      <c r="B170" s="16"/>
      <c r="C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</row>
    <row r="171" spans="2:25" ht="15">
      <c r="B171" s="16"/>
      <c r="C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</row>
    <row r="172" spans="2:25" ht="15">
      <c r="B172" s="16"/>
      <c r="C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</row>
    <row r="173" spans="2:25" ht="15">
      <c r="B173" s="16"/>
      <c r="C173" s="16"/>
      <c r="D173" s="18" t="s">
        <v>205</v>
      </c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</row>
    <row r="174" spans="2:25" ht="15">
      <c r="B174" s="16"/>
      <c r="C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</row>
    <row r="175" spans="2:25" ht="15.75" thickBot="1">
      <c r="B175" s="16"/>
      <c r="C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</row>
    <row r="176" spans="2:25" ht="15.75" thickBot="1">
      <c r="B176" s="16"/>
      <c r="C176" s="16"/>
      <c r="D176" s="16"/>
      <c r="E176" s="54" t="s">
        <v>14</v>
      </c>
      <c r="F176" s="54" t="s">
        <v>15</v>
      </c>
      <c r="G176" s="54" t="s">
        <v>16</v>
      </c>
      <c r="H176" s="16"/>
      <c r="I176" s="16" t="s">
        <v>52</v>
      </c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</row>
    <row r="177" spans="2:25" ht="15.75" thickBot="1">
      <c r="B177" s="16"/>
      <c r="C177" s="16"/>
      <c r="D177" s="41" t="s">
        <v>51</v>
      </c>
      <c r="E177" s="42"/>
      <c r="F177" s="42"/>
      <c r="G177" s="89">
        <v>34996</v>
      </c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</row>
    <row r="178" spans="2:25" ht="15">
      <c r="B178" s="16"/>
      <c r="C178" s="16"/>
      <c r="D178" s="21"/>
      <c r="E178" s="21"/>
      <c r="F178" s="21"/>
      <c r="G178" s="84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</row>
    <row r="179" spans="2:25" ht="15">
      <c r="B179" s="16"/>
      <c r="C179" s="16"/>
      <c r="D179" s="19" t="s">
        <v>53</v>
      </c>
      <c r="E179" s="46">
        <f>+I102</f>
        <v>13090</v>
      </c>
      <c r="F179" s="19">
        <f>+J102</f>
        <v>37</v>
      </c>
      <c r="G179" s="67">
        <f>+F179*E179</f>
        <v>484330</v>
      </c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</row>
    <row r="180" spans="2:25" ht="15">
      <c r="B180" s="16"/>
      <c r="C180" s="16"/>
      <c r="D180" s="19" t="s">
        <v>54</v>
      </c>
      <c r="E180" s="46">
        <v>4520</v>
      </c>
      <c r="F180" s="19">
        <f>+F161</f>
        <v>70</v>
      </c>
      <c r="G180" s="67">
        <f>+F180*E180</f>
        <v>316400</v>
      </c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</row>
    <row r="181" spans="2:25" ht="15">
      <c r="B181" s="16"/>
      <c r="C181" s="16"/>
      <c r="D181" s="55" t="s">
        <v>55</v>
      </c>
      <c r="E181" s="46">
        <v>4520</v>
      </c>
      <c r="F181" s="19">
        <f>+M43</f>
        <v>35.5</v>
      </c>
      <c r="G181" s="67">
        <f>+F181*E181</f>
        <v>160460</v>
      </c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</row>
    <row r="182" spans="2:25" ht="15.75" thickBot="1">
      <c r="B182" s="16"/>
      <c r="C182" s="16"/>
      <c r="D182" s="20"/>
      <c r="E182" s="70"/>
      <c r="F182" s="20"/>
      <c r="G182" s="90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</row>
    <row r="183" spans="2:25" ht="15.75" thickBot="1">
      <c r="B183" s="16"/>
      <c r="C183" s="16"/>
      <c r="D183" s="72" t="s">
        <v>57</v>
      </c>
      <c r="E183" s="167"/>
      <c r="F183" s="42"/>
      <c r="G183" s="91">
        <f>-G165</f>
        <v>-12646.820430107526</v>
      </c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</row>
    <row r="184" spans="2:25" ht="15.75" thickBot="1">
      <c r="B184" s="16"/>
      <c r="C184" s="16"/>
      <c r="D184" s="16"/>
      <c r="E184" s="168"/>
      <c r="F184" s="16"/>
      <c r="G184" s="65"/>
      <c r="H184" s="40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</row>
    <row r="185" spans="2:25" ht="15.75" thickBot="1">
      <c r="B185" s="16"/>
      <c r="C185" s="16"/>
      <c r="D185" s="41" t="s">
        <v>59</v>
      </c>
      <c r="E185" s="167">
        <v>13000</v>
      </c>
      <c r="F185" s="73">
        <f>+G185/E185</f>
        <v>75.65685996691481</v>
      </c>
      <c r="G185" s="89">
        <f>SUM(G177:G183)</f>
        <v>983539.1795698925</v>
      </c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</row>
    <row r="186" spans="2:25" ht="15">
      <c r="B186" s="16"/>
      <c r="C186" s="16"/>
      <c r="D186" s="16"/>
      <c r="E186" s="168"/>
      <c r="F186" s="16"/>
      <c r="G186" s="16" t="s">
        <v>206</v>
      </c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</row>
    <row r="187" spans="2:25" ht="15">
      <c r="B187" s="16"/>
      <c r="C187" s="16"/>
      <c r="D187" s="16"/>
      <c r="E187" s="168"/>
      <c r="F187" s="16"/>
      <c r="G187" s="16" t="s">
        <v>207</v>
      </c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</row>
    <row r="188" spans="2:25" ht="15">
      <c r="B188" s="16"/>
      <c r="C188" s="16"/>
      <c r="D188" s="16"/>
      <c r="E188" s="16"/>
      <c r="F188" s="16"/>
      <c r="G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</row>
    <row r="189" spans="2:25" ht="15">
      <c r="B189" s="16"/>
      <c r="C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</row>
    <row r="190" spans="2:25" ht="15">
      <c r="B190" s="16"/>
      <c r="C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</row>
    <row r="191" spans="2:25" ht="15">
      <c r="B191" s="16"/>
      <c r="C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</row>
    <row r="192" spans="2:25" ht="15">
      <c r="B192" s="16"/>
      <c r="C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</row>
    <row r="193" spans="2:25" ht="15">
      <c r="B193" s="16"/>
      <c r="C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</row>
    <row r="194" spans="2:25" ht="15"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</row>
    <row r="195" spans="2:25" ht="15">
      <c r="B195" s="16"/>
      <c r="C195" s="16"/>
      <c r="D195" s="16"/>
      <c r="E195" s="16"/>
      <c r="F195" s="16"/>
      <c r="G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</row>
    <row r="196" spans="2:25" ht="15">
      <c r="B196" s="16"/>
      <c r="C196" s="16"/>
      <c r="D196" s="16"/>
      <c r="E196" s="19" t="s">
        <v>64</v>
      </c>
      <c r="F196" s="19" t="s">
        <v>63</v>
      </c>
      <c r="G196" s="19">
        <f>52000/4</f>
        <v>13000</v>
      </c>
      <c r="H196" s="19" t="s">
        <v>65</v>
      </c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</row>
    <row r="197" spans="2:25" ht="15"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</row>
    <row r="198" spans="2:25" ht="15">
      <c r="B198" s="16"/>
      <c r="C198" s="16"/>
      <c r="D198" s="87" t="s">
        <v>82</v>
      </c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</row>
    <row r="199" spans="2:25" ht="15">
      <c r="B199" s="16"/>
      <c r="C199" s="16"/>
      <c r="D199" s="16"/>
      <c r="E199" s="16"/>
      <c r="F199" s="16"/>
      <c r="G199" s="16"/>
      <c r="H199" s="16"/>
      <c r="J199" s="75"/>
      <c r="K199" s="45"/>
      <c r="L199" s="28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</row>
    <row r="200" spans="2:25" ht="15">
      <c r="B200" s="16"/>
      <c r="C200" s="44">
        <v>1</v>
      </c>
      <c r="D200" s="74" t="s">
        <v>90</v>
      </c>
      <c r="E200" s="75"/>
      <c r="F200" s="75"/>
      <c r="G200" s="75"/>
      <c r="H200" s="75"/>
      <c r="I200" s="75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</row>
    <row r="201" spans="2:25" ht="15">
      <c r="B201" s="16"/>
      <c r="C201" s="16" t="s">
        <v>84</v>
      </c>
      <c r="D201" s="64" t="s">
        <v>67</v>
      </c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</row>
    <row r="202" spans="2:25" ht="15">
      <c r="B202" s="16"/>
      <c r="C202" s="16" t="s">
        <v>83</v>
      </c>
      <c r="D202" s="64" t="s">
        <v>68</v>
      </c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</row>
    <row r="203" spans="2:25" ht="15">
      <c r="B203" s="16"/>
      <c r="C203" s="16"/>
      <c r="D203" s="64"/>
      <c r="E203" s="16"/>
      <c r="F203" s="16"/>
      <c r="G203" s="16"/>
      <c r="H203" s="16"/>
      <c r="I203" s="75"/>
      <c r="J203" s="75"/>
      <c r="K203" s="45"/>
      <c r="L203" s="28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</row>
    <row r="204" spans="2:25" ht="15">
      <c r="B204" s="16"/>
      <c r="C204" s="44">
        <v>2</v>
      </c>
      <c r="D204" s="76" t="s">
        <v>86</v>
      </c>
      <c r="E204" s="75"/>
      <c r="F204" s="75"/>
      <c r="G204" s="75"/>
      <c r="H204" s="75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</row>
    <row r="205" spans="2:25" ht="15">
      <c r="B205" s="16"/>
      <c r="C205" s="16"/>
      <c r="D205" s="64"/>
      <c r="E205" s="16"/>
      <c r="F205" s="16"/>
      <c r="G205" s="16"/>
      <c r="H205" s="16"/>
      <c r="I205" s="75"/>
      <c r="J205" s="75"/>
      <c r="K205" s="45"/>
      <c r="L205" s="28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</row>
    <row r="206" spans="2:25" ht="15">
      <c r="B206" s="16"/>
      <c r="C206" s="44">
        <v>3</v>
      </c>
      <c r="D206" s="76" t="s">
        <v>69</v>
      </c>
      <c r="E206" s="75"/>
      <c r="F206" s="75"/>
      <c r="G206" s="75"/>
      <c r="H206" s="74" t="s">
        <v>76</v>
      </c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</row>
    <row r="207" spans="2:25" ht="15">
      <c r="B207" s="16"/>
      <c r="C207" s="16"/>
      <c r="D207" s="40"/>
      <c r="E207" s="40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</row>
    <row r="208" spans="2:25" ht="15">
      <c r="B208" s="16"/>
      <c r="C208" s="16"/>
      <c r="D208" s="40" t="s">
        <v>70</v>
      </c>
      <c r="E208" s="40" t="s">
        <v>71</v>
      </c>
      <c r="F208" s="40" t="s">
        <v>75</v>
      </c>
      <c r="G208" s="16"/>
      <c r="H208" s="16"/>
      <c r="I208" s="19">
        <f>260*37</f>
        <v>9620</v>
      </c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</row>
    <row r="209" spans="2:25" ht="15">
      <c r="B209" s="16"/>
      <c r="C209" s="16"/>
      <c r="D209" s="40"/>
      <c r="E209" s="40" t="s">
        <v>72</v>
      </c>
      <c r="F209" s="16"/>
      <c r="G209" s="40" t="s">
        <v>87</v>
      </c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</row>
    <row r="210" spans="2:25" ht="15">
      <c r="B210" s="16"/>
      <c r="C210" s="16"/>
      <c r="D210" s="40"/>
      <c r="E210" s="40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</row>
    <row r="211" spans="2:25" ht="15">
      <c r="B211" s="16"/>
      <c r="C211" s="16"/>
      <c r="D211" s="40" t="s">
        <v>73</v>
      </c>
      <c r="E211" s="40" t="s">
        <v>74</v>
      </c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</row>
    <row r="212" spans="2:25" ht="15">
      <c r="B212" s="16"/>
      <c r="C212" s="16"/>
      <c r="D212" s="40"/>
      <c r="E212" s="40" t="s">
        <v>77</v>
      </c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</row>
    <row r="213" spans="2:25" ht="15">
      <c r="B213" s="16"/>
      <c r="C213" s="16"/>
      <c r="D213" s="40"/>
      <c r="E213" s="40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</row>
    <row r="214" spans="2:25" ht="15">
      <c r="B214" s="16"/>
      <c r="C214" s="16"/>
      <c r="D214" s="40"/>
      <c r="E214" s="40" t="s">
        <v>91</v>
      </c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</row>
    <row r="215" spans="2:25" ht="15">
      <c r="B215" s="16"/>
      <c r="C215" s="16"/>
      <c r="D215" s="40"/>
      <c r="E215" s="40" t="s">
        <v>92</v>
      </c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</row>
    <row r="216" spans="2:25" ht="15">
      <c r="B216" s="16"/>
      <c r="C216" s="16"/>
      <c r="D216" s="40"/>
      <c r="E216" s="40"/>
      <c r="F216" s="16"/>
      <c r="G216" s="16"/>
      <c r="H216" s="16"/>
      <c r="I216" s="66">
        <f>484330/13020</f>
        <v>37.19892473118279</v>
      </c>
      <c r="J216" s="16" t="s">
        <v>78</v>
      </c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</row>
    <row r="217" spans="2:25" ht="15">
      <c r="B217" s="16"/>
      <c r="C217" s="16"/>
      <c r="D217" s="40"/>
      <c r="E217" s="40" t="s">
        <v>85</v>
      </c>
      <c r="F217" s="16"/>
      <c r="G217" s="16"/>
      <c r="H217" s="16" t="s">
        <v>81</v>
      </c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</row>
    <row r="218" spans="2:25" ht="15">
      <c r="B218" s="16"/>
      <c r="C218" s="16"/>
      <c r="D218" s="40"/>
      <c r="E218" s="40" t="s">
        <v>79</v>
      </c>
      <c r="F218" s="16" t="s">
        <v>80</v>
      </c>
      <c r="G218" s="67">
        <f>I216*260</f>
        <v>9671.720430107525</v>
      </c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</row>
    <row r="219" spans="2:25" ht="15">
      <c r="B219" s="16"/>
      <c r="C219" s="16"/>
      <c r="D219" s="40"/>
      <c r="E219" s="40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</row>
    <row r="220" spans="2:25" ht="15">
      <c r="B220" s="16"/>
      <c r="C220" s="16"/>
      <c r="D220" s="40"/>
      <c r="E220" s="40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</row>
    <row r="221" spans="2:25" ht="15">
      <c r="B221" s="16"/>
      <c r="C221" s="16"/>
      <c r="D221" s="40"/>
      <c r="E221" s="40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</row>
    <row r="222" spans="2:25" ht="15">
      <c r="B222" s="16"/>
      <c r="C222" s="16"/>
      <c r="D222" s="40"/>
      <c r="E222" s="40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</row>
    <row r="223" spans="2:25" ht="15">
      <c r="B223" s="16"/>
      <c r="C223" s="16"/>
      <c r="D223" s="40"/>
      <c r="E223" s="40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</row>
    <row r="224" spans="2:25" ht="15.75" thickBot="1">
      <c r="B224" s="16"/>
      <c r="C224" s="16"/>
      <c r="D224" s="20" t="s">
        <v>94</v>
      </c>
      <c r="E224" s="20" t="s">
        <v>14</v>
      </c>
      <c r="F224" s="20" t="s">
        <v>15</v>
      </c>
      <c r="G224" s="20" t="s">
        <v>16</v>
      </c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</row>
    <row r="225" spans="2:25" ht="15">
      <c r="B225" s="16"/>
      <c r="C225" s="16"/>
      <c r="D225" s="22" t="s">
        <v>17</v>
      </c>
      <c r="E225" s="23"/>
      <c r="F225" s="23"/>
      <c r="G225" s="24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</row>
    <row r="226" spans="2:25" ht="15">
      <c r="B226" s="16"/>
      <c r="C226" s="16"/>
      <c r="D226" s="25"/>
      <c r="E226" s="19">
        <v>215</v>
      </c>
      <c r="F226" s="19">
        <v>242</v>
      </c>
      <c r="G226" s="121">
        <f>+F226*E226</f>
        <v>52030</v>
      </c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</row>
    <row r="227" spans="2:25" ht="15">
      <c r="B227" s="16"/>
      <c r="C227" s="16"/>
      <c r="D227" s="26"/>
      <c r="E227" s="19"/>
      <c r="F227" s="19"/>
      <c r="G227" s="121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</row>
    <row r="228" spans="2:25" ht="15">
      <c r="B228" s="16"/>
      <c r="C228" s="16"/>
      <c r="D228" s="27"/>
      <c r="E228" s="28"/>
      <c r="F228" s="28"/>
      <c r="G228" s="122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</row>
    <row r="229" spans="2:25" ht="15">
      <c r="B229" s="16"/>
      <c r="C229" s="16"/>
      <c r="D229" s="27" t="s">
        <v>21</v>
      </c>
      <c r="E229" s="28"/>
      <c r="F229" s="28"/>
      <c r="G229" s="122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</row>
    <row r="230" spans="2:25" ht="15">
      <c r="B230" s="16"/>
      <c r="C230" s="16"/>
      <c r="D230" s="25"/>
      <c r="E230" s="19">
        <v>215</v>
      </c>
      <c r="F230" s="52">
        <v>17.2</v>
      </c>
      <c r="G230" s="121">
        <f>F230*E230</f>
        <v>3698</v>
      </c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</row>
    <row r="231" spans="2:25" ht="15">
      <c r="B231" s="16"/>
      <c r="C231" s="16"/>
      <c r="D231" s="25"/>
      <c r="E231" s="19"/>
      <c r="F231" s="55"/>
      <c r="G231" s="121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</row>
    <row r="232" spans="2:25" ht="15">
      <c r="B232" s="16"/>
      <c r="C232" s="16"/>
      <c r="D232" s="27"/>
      <c r="E232" s="28"/>
      <c r="F232" s="28"/>
      <c r="G232" s="122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</row>
    <row r="233" spans="2:25" ht="15">
      <c r="B233" s="16"/>
      <c r="C233" s="16"/>
      <c r="D233" s="26"/>
      <c r="E233" s="19"/>
      <c r="F233" s="19"/>
      <c r="G233" s="121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</row>
    <row r="234" spans="2:25" ht="15.75" thickBot="1">
      <c r="B234" s="16"/>
      <c r="C234" s="16"/>
      <c r="D234" s="29"/>
      <c r="E234" s="30"/>
      <c r="F234" s="30"/>
      <c r="G234" s="123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</row>
    <row r="235" spans="2:25" ht="15">
      <c r="B235" s="16"/>
      <c r="C235" s="16"/>
      <c r="D235" s="21" t="s">
        <v>22</v>
      </c>
      <c r="E235" s="21">
        <v>215</v>
      </c>
      <c r="F235" s="77">
        <f>+G235/E235</f>
        <v>259.2</v>
      </c>
      <c r="G235" s="169">
        <f>G230+G226</f>
        <v>55728</v>
      </c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</row>
    <row r="236" spans="2:25" ht="15">
      <c r="B236" s="16"/>
      <c r="C236" s="16"/>
      <c r="D236" s="40"/>
      <c r="E236" s="40"/>
      <c r="F236" s="16"/>
      <c r="G236" s="65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</row>
    <row r="237" spans="2:25" ht="15">
      <c r="B237" s="16"/>
      <c r="C237" s="16"/>
      <c r="D237" s="40"/>
      <c r="E237" s="40"/>
      <c r="F237" s="16"/>
      <c r="G237" s="65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</row>
    <row r="238" spans="2:25" ht="15">
      <c r="B238" s="16"/>
      <c r="C238" s="16"/>
      <c r="D238" s="40"/>
      <c r="E238" s="40"/>
      <c r="F238" s="16"/>
      <c r="G238" s="65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</row>
    <row r="239" spans="2:25" ht="15">
      <c r="B239" s="16"/>
      <c r="C239" s="16"/>
      <c r="D239" s="16"/>
      <c r="E239" s="16"/>
      <c r="F239" s="16"/>
      <c r="G239" s="65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</row>
    <row r="240" spans="2:25" ht="15">
      <c r="B240" s="16"/>
      <c r="C240" s="16"/>
      <c r="D240" s="16"/>
      <c r="E240" s="16"/>
      <c r="F240" s="16"/>
      <c r="G240" s="65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</row>
    <row r="241" spans="2:25" ht="28.5">
      <c r="B241" s="16"/>
      <c r="C241" s="16"/>
      <c r="D241" s="166" t="s">
        <v>93</v>
      </c>
      <c r="E241" s="16"/>
      <c r="F241" s="16"/>
      <c r="G241" s="65"/>
      <c r="H241" s="16"/>
      <c r="I241" s="16"/>
      <c r="J241" s="16"/>
      <c r="K241" s="65"/>
      <c r="L241" s="65"/>
      <c r="M241" s="16"/>
      <c r="N241" s="16"/>
      <c r="O241" s="145" t="s">
        <v>177</v>
      </c>
      <c r="P241" s="16"/>
      <c r="Q241" s="16"/>
      <c r="R241" s="16"/>
      <c r="S241" s="16"/>
      <c r="T241" s="16"/>
      <c r="U241" s="16"/>
      <c r="V241" s="16"/>
      <c r="W241" s="16"/>
      <c r="X241" s="16"/>
      <c r="Y241" s="16"/>
    </row>
    <row r="242" spans="2:25" ht="15.75" thickBot="1">
      <c r="B242" s="16"/>
      <c r="C242" s="16"/>
      <c r="D242" s="40"/>
      <c r="E242" s="16"/>
      <c r="F242" s="16"/>
      <c r="G242" s="65"/>
      <c r="K242" s="101"/>
      <c r="L242" s="101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</row>
    <row r="243" spans="2:25" ht="15.75" thickBot="1">
      <c r="B243" s="16"/>
      <c r="C243" s="16"/>
      <c r="D243" s="41"/>
      <c r="E243" s="42" t="s">
        <v>14</v>
      </c>
      <c r="F243" s="42" t="s">
        <v>15</v>
      </c>
      <c r="G243" s="170" t="s">
        <v>16</v>
      </c>
      <c r="H243" s="42"/>
      <c r="I243" s="42" t="s">
        <v>14</v>
      </c>
      <c r="J243" s="42" t="s">
        <v>15</v>
      </c>
      <c r="K243" s="89" t="s">
        <v>16</v>
      </c>
      <c r="L243" s="128"/>
      <c r="M243" s="16"/>
      <c r="O243" s="19" t="s">
        <v>14</v>
      </c>
      <c r="P243" s="19" t="s">
        <v>151</v>
      </c>
      <c r="Q243" s="188" t="s">
        <v>167</v>
      </c>
      <c r="R243" s="16"/>
      <c r="S243" s="16"/>
      <c r="T243" s="16"/>
      <c r="U243" s="16"/>
      <c r="V243" s="16"/>
      <c r="W243" s="16"/>
      <c r="X243" s="16"/>
      <c r="Y243" s="16"/>
    </row>
    <row r="244" spans="3:17" ht="15">
      <c r="C244" s="16"/>
      <c r="D244" s="21" t="s">
        <v>10</v>
      </c>
      <c r="E244" s="21">
        <v>15</v>
      </c>
      <c r="F244" s="77">
        <f>+G244/E244</f>
        <v>179.46666666666667</v>
      </c>
      <c r="G244" s="84">
        <v>2692</v>
      </c>
      <c r="H244" s="21" t="s">
        <v>31</v>
      </c>
      <c r="I244" s="21">
        <v>210</v>
      </c>
      <c r="J244" s="84">
        <f>+F251</f>
        <v>254</v>
      </c>
      <c r="K244" s="177">
        <f>+J244*I244</f>
        <v>53340</v>
      </c>
      <c r="L244" s="303"/>
      <c r="M244" s="5"/>
      <c r="N244" s="163" t="s">
        <v>166</v>
      </c>
      <c r="O244" s="181">
        <v>1000</v>
      </c>
      <c r="P244" s="19">
        <v>0.2</v>
      </c>
      <c r="Q244" s="181">
        <f>P244*O244</f>
        <v>200</v>
      </c>
    </row>
    <row r="245" spans="4:17" ht="15">
      <c r="D245" s="19"/>
      <c r="E245" s="19"/>
      <c r="F245" s="19"/>
      <c r="G245" s="67"/>
      <c r="H245" s="19"/>
      <c r="I245" s="19"/>
      <c r="J245" s="67"/>
      <c r="K245" s="67"/>
      <c r="L245" s="128"/>
      <c r="O245" s="181"/>
      <c r="P245" s="19"/>
      <c r="Q245" s="181"/>
    </row>
    <row r="246" spans="4:17" ht="15.75" thickBot="1">
      <c r="D246" s="19"/>
      <c r="E246" s="19"/>
      <c r="F246" s="19"/>
      <c r="G246" s="67"/>
      <c r="H246" s="20"/>
      <c r="I246" s="20"/>
      <c r="J246" s="90"/>
      <c r="K246" s="90"/>
      <c r="L246" s="128"/>
      <c r="N246" s="1" t="s">
        <v>168</v>
      </c>
      <c r="O246" s="181">
        <v>24400</v>
      </c>
      <c r="P246" s="19">
        <v>1</v>
      </c>
      <c r="Q246" s="181">
        <f>+O246</f>
        <v>24400</v>
      </c>
    </row>
    <row r="247" spans="4:17" ht="15.75" thickBot="1">
      <c r="D247" s="19"/>
      <c r="E247" s="19"/>
      <c r="F247" s="19"/>
      <c r="G247" s="132"/>
      <c r="H247" s="253" t="s">
        <v>194</v>
      </c>
      <c r="I247" s="254">
        <v>2</v>
      </c>
      <c r="J247" s="256">
        <f>F251</f>
        <v>254</v>
      </c>
      <c r="K247" s="255">
        <f>J247*I247</f>
        <v>508</v>
      </c>
      <c r="L247" s="304"/>
      <c r="N247" s="2" t="s">
        <v>168</v>
      </c>
      <c r="O247" s="181">
        <v>27600</v>
      </c>
      <c r="P247" s="19">
        <v>1</v>
      </c>
      <c r="Q247" s="181">
        <f>+O247</f>
        <v>27600</v>
      </c>
    </row>
    <row r="248" spans="4:17" ht="15">
      <c r="D248" s="19"/>
      <c r="E248" s="19"/>
      <c r="F248" s="19"/>
      <c r="G248" s="67"/>
      <c r="H248" s="21"/>
      <c r="I248" s="21"/>
      <c r="J248" s="84"/>
      <c r="K248" s="84"/>
      <c r="L248" s="128"/>
      <c r="N248" s="163" t="s">
        <v>179</v>
      </c>
      <c r="O248" s="181">
        <v>1000</v>
      </c>
      <c r="P248" s="19">
        <v>1</v>
      </c>
      <c r="Q248" s="181">
        <f>-O244</f>
        <v>-1000</v>
      </c>
    </row>
    <row r="249" spans="4:17" ht="15">
      <c r="D249" s="19" t="s">
        <v>23</v>
      </c>
      <c r="E249" s="19">
        <f>+E226</f>
        <v>215</v>
      </c>
      <c r="F249" s="57">
        <f>+F235</f>
        <v>259.2</v>
      </c>
      <c r="G249" s="67">
        <f>+F249*E249</f>
        <v>55728</v>
      </c>
      <c r="H249" s="19" t="s">
        <v>34</v>
      </c>
      <c r="I249" s="19">
        <f>+E251-I244-I247</f>
        <v>18</v>
      </c>
      <c r="J249" s="67">
        <f>J244</f>
        <v>254</v>
      </c>
      <c r="K249" s="84">
        <f>+J249*I249</f>
        <v>4572</v>
      </c>
      <c r="L249" s="128"/>
      <c r="O249" s="163"/>
      <c r="P249" s="19"/>
      <c r="Q249" s="163"/>
    </row>
    <row r="250" spans="4:17" ht="15.75" thickBot="1">
      <c r="D250" s="20"/>
      <c r="E250" s="20"/>
      <c r="F250" s="20"/>
      <c r="G250" s="90"/>
      <c r="H250" s="20"/>
      <c r="I250" s="20"/>
      <c r="J250" s="90"/>
      <c r="K250" s="90"/>
      <c r="L250" s="128"/>
      <c r="N250" s="163" t="s">
        <v>169</v>
      </c>
      <c r="O250" s="181">
        <v>680</v>
      </c>
      <c r="P250" s="19">
        <v>0.7</v>
      </c>
      <c r="Q250" s="181">
        <f>P250*O250</f>
        <v>475.99999999999994</v>
      </c>
    </row>
    <row r="251" spans="4:17" ht="15.75" thickBot="1">
      <c r="D251" s="41" t="s">
        <v>22</v>
      </c>
      <c r="E251" s="42">
        <f>+E249+E244</f>
        <v>230</v>
      </c>
      <c r="F251" s="79">
        <f>+G251/E251</f>
        <v>254</v>
      </c>
      <c r="G251" s="170">
        <f>+G249+G244</f>
        <v>58420</v>
      </c>
      <c r="H251" s="42" t="s">
        <v>22</v>
      </c>
      <c r="I251" s="42">
        <f>SUM(I244:I249)</f>
        <v>230</v>
      </c>
      <c r="J251" s="170">
        <f>+F251</f>
        <v>254</v>
      </c>
      <c r="K251" s="89">
        <f>K249+K244+K247</f>
        <v>58420</v>
      </c>
      <c r="L251" s="128"/>
      <c r="O251" s="99">
        <v>520</v>
      </c>
      <c r="P251" s="20">
        <v>0.6</v>
      </c>
      <c r="Q251" s="99">
        <f>P251*O251</f>
        <v>312</v>
      </c>
    </row>
    <row r="252" spans="7:18" ht="15.75" thickBot="1">
      <c r="G252" s="101"/>
      <c r="K252" s="101"/>
      <c r="L252" s="101"/>
      <c r="N252" s="163" t="s">
        <v>42</v>
      </c>
      <c r="O252" s="224"/>
      <c r="P252" s="196"/>
      <c r="Q252" s="182">
        <f>SUM(Q244:Q251)</f>
        <v>51988</v>
      </c>
      <c r="R252" t="s">
        <v>170</v>
      </c>
    </row>
    <row r="253" spans="7:17" ht="15">
      <c r="G253" s="101"/>
      <c r="K253" s="101"/>
      <c r="L253" s="101"/>
      <c r="O253" s="95"/>
      <c r="Q253" s="95"/>
    </row>
    <row r="254" spans="7:21" ht="15">
      <c r="G254" s="101"/>
      <c r="K254" s="101"/>
      <c r="L254" s="101"/>
      <c r="O254" s="186" t="s">
        <v>173</v>
      </c>
      <c r="P254" s="187" t="s">
        <v>174</v>
      </c>
      <c r="Q254" s="183" t="s">
        <v>172</v>
      </c>
      <c r="R254" s="184">
        <f>+O246+O247</f>
        <v>52000</v>
      </c>
      <c r="S254" s="185"/>
      <c r="T254" s="189" t="s">
        <v>175</v>
      </c>
      <c r="U254" s="190" t="s">
        <v>176</v>
      </c>
    </row>
    <row r="255" spans="3:17" ht="26.25">
      <c r="C255" s="175" t="s">
        <v>60</v>
      </c>
      <c r="D255" s="175"/>
      <c r="E255" s="175"/>
      <c r="G255" s="101"/>
      <c r="K255" s="101"/>
      <c r="L255" s="101"/>
      <c r="Q255" s="95" t="s">
        <v>171</v>
      </c>
    </row>
    <row r="256" spans="1:21" ht="26.25">
      <c r="A256" s="16"/>
      <c r="B256" s="154"/>
      <c r="C256" s="175" t="s">
        <v>61</v>
      </c>
      <c r="D256" s="176" t="s">
        <v>104</v>
      </c>
      <c r="E256" s="175"/>
      <c r="F256" s="16"/>
      <c r="G256" s="16"/>
      <c r="H256" s="16"/>
      <c r="I256" s="16"/>
      <c r="J256" s="16"/>
      <c r="K256" s="16"/>
      <c r="L256" s="16"/>
      <c r="M256" s="16"/>
      <c r="N256" s="16"/>
      <c r="O256" s="36"/>
      <c r="P256" s="192">
        <f>Q244</f>
        <v>200</v>
      </c>
      <c r="Q256" s="191"/>
      <c r="R256" s="37">
        <v>51000</v>
      </c>
      <c r="S256" s="86"/>
      <c r="T256" s="36"/>
      <c r="U256" s="192">
        <f>Q250+Q251</f>
        <v>788</v>
      </c>
    </row>
    <row r="257" spans="1:17" ht="18.75">
      <c r="A257" s="16"/>
      <c r="B257" s="145"/>
      <c r="C257" s="40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Q257" s="95"/>
    </row>
    <row r="258" spans="1:21" ht="15.75" thickBot="1">
      <c r="A258" s="16"/>
      <c r="B258" s="16"/>
      <c r="C258" s="16"/>
      <c r="D258" s="16"/>
      <c r="E258" s="16"/>
      <c r="F258" s="16"/>
      <c r="G258" s="16"/>
      <c r="H258" s="19" t="s">
        <v>150</v>
      </c>
      <c r="I258" s="19" t="s">
        <v>151</v>
      </c>
      <c r="J258" s="19" t="s">
        <v>96</v>
      </c>
      <c r="K258" s="20" t="s">
        <v>152</v>
      </c>
      <c r="L258" s="28"/>
      <c r="M258" s="16"/>
      <c r="N258" s="16"/>
      <c r="O258" s="36"/>
      <c r="P258" s="193"/>
      <c r="Q258" s="194"/>
      <c r="R258" s="194">
        <f>R256+P256+U256</f>
        <v>51988</v>
      </c>
      <c r="S258" s="193" t="s">
        <v>178</v>
      </c>
      <c r="T258" s="193"/>
      <c r="U258" s="195"/>
    </row>
    <row r="259" spans="1:17" ht="15.75" thickBot="1">
      <c r="A259" s="16"/>
      <c r="B259" s="16"/>
      <c r="C259" s="41" t="s">
        <v>14</v>
      </c>
      <c r="D259" s="42" t="s">
        <v>15</v>
      </c>
      <c r="E259" s="43" t="s">
        <v>16</v>
      </c>
      <c r="F259" s="16"/>
      <c r="G259" s="16"/>
      <c r="H259" s="19">
        <v>680</v>
      </c>
      <c r="I259" s="164">
        <v>1</v>
      </c>
      <c r="J259" s="16">
        <f>+H259*I259</f>
        <v>680</v>
      </c>
      <c r="K259" s="127">
        <f>(J259+J260)/4</f>
        <v>300</v>
      </c>
      <c r="L259" s="28"/>
      <c r="M259" s="16"/>
      <c r="N259" s="16"/>
      <c r="Q259" s="95"/>
    </row>
    <row r="260" spans="1:17" ht="15.75" thickBot="1">
      <c r="A260" s="158" t="s">
        <v>140</v>
      </c>
      <c r="B260" s="75" t="s">
        <v>153</v>
      </c>
      <c r="C260" s="155" t="s">
        <v>96</v>
      </c>
      <c r="D260" s="146" t="s">
        <v>154</v>
      </c>
      <c r="E260" s="21"/>
      <c r="F260" s="16" t="s">
        <v>208</v>
      </c>
      <c r="G260" s="162" t="s">
        <v>146</v>
      </c>
      <c r="H260" s="19">
        <v>520</v>
      </c>
      <c r="I260" s="178">
        <v>1</v>
      </c>
      <c r="J260" s="222">
        <f>I260*H260</f>
        <v>520</v>
      </c>
      <c r="K260" s="120"/>
      <c r="L260" s="28"/>
      <c r="M260" s="16"/>
      <c r="N260" s="16"/>
      <c r="Q260" s="95"/>
    </row>
    <row r="261" spans="1:17" ht="15">
      <c r="A261" s="158"/>
      <c r="B261" s="75"/>
      <c r="C261" s="220"/>
      <c r="D261" s="146"/>
      <c r="E261" s="21"/>
      <c r="F261" s="16"/>
      <c r="G261" s="28"/>
      <c r="H261" s="28"/>
      <c r="I261" s="221"/>
      <c r="J261" s="16">
        <f>J259+J260</f>
        <v>1200</v>
      </c>
      <c r="K261" s="28"/>
      <c r="L261" s="28"/>
      <c r="M261" s="16"/>
      <c r="N261" s="16"/>
      <c r="Q261" s="95"/>
    </row>
    <row r="262" spans="1:17" ht="15">
      <c r="A262" s="158"/>
      <c r="B262" s="75"/>
      <c r="C262" s="220"/>
      <c r="D262" s="146"/>
      <c r="E262" s="21"/>
      <c r="F262" s="16"/>
      <c r="G262" s="28"/>
      <c r="H262" s="28"/>
      <c r="I262" s="221"/>
      <c r="J262" s="16"/>
      <c r="K262" s="28"/>
      <c r="L262" s="28"/>
      <c r="M262" s="16"/>
      <c r="N262" s="16"/>
      <c r="Q262" s="95"/>
    </row>
    <row r="263" spans="1:17" ht="15">
      <c r="A263" s="158"/>
      <c r="B263" s="75"/>
      <c r="C263" s="220"/>
      <c r="D263" s="146"/>
      <c r="E263" s="21"/>
      <c r="F263" s="16" t="s">
        <v>209</v>
      </c>
      <c r="G263" s="44"/>
      <c r="H263" s="75" t="s">
        <v>210</v>
      </c>
      <c r="I263" s="223"/>
      <c r="J263" s="75"/>
      <c r="K263" s="45"/>
      <c r="L263" s="28"/>
      <c r="M263" s="16"/>
      <c r="N263" s="16"/>
      <c r="Q263" s="95"/>
    </row>
    <row r="264" spans="1:17" ht="15">
      <c r="A264" s="158"/>
      <c r="B264" s="75"/>
      <c r="C264" s="220"/>
      <c r="D264" s="146"/>
      <c r="E264" s="21"/>
      <c r="F264" s="16"/>
      <c r="G264" s="28"/>
      <c r="H264" s="28"/>
      <c r="I264" s="221"/>
      <c r="J264" s="16"/>
      <c r="K264" s="28"/>
      <c r="L264" s="28"/>
      <c r="M264" s="16"/>
      <c r="N264" s="16"/>
      <c r="Q264" s="95"/>
    </row>
    <row r="265" spans="1:17" ht="15">
      <c r="A265" s="158"/>
      <c r="B265" s="75"/>
      <c r="C265" s="220"/>
      <c r="D265" s="146"/>
      <c r="E265" s="21"/>
      <c r="F265" s="16"/>
      <c r="G265" s="28"/>
      <c r="H265" s="28"/>
      <c r="I265" s="221"/>
      <c r="J265" s="16"/>
      <c r="K265" s="28"/>
      <c r="L265" s="28"/>
      <c r="M265" s="16"/>
      <c r="N265" s="16"/>
      <c r="Q265" s="95"/>
    </row>
    <row r="266" spans="1:17" ht="15.75" thickBot="1">
      <c r="A266" s="19"/>
      <c r="B266" s="75" t="s">
        <v>155</v>
      </c>
      <c r="C266" s="120"/>
      <c r="D266" s="147"/>
      <c r="E266" s="21"/>
      <c r="F266" s="16"/>
      <c r="G266" s="16"/>
      <c r="H266" s="16"/>
      <c r="I266" s="16"/>
      <c r="J266" s="16"/>
      <c r="K266" s="16"/>
      <c r="L266" s="16"/>
      <c r="M266" s="16"/>
      <c r="N266" s="16"/>
      <c r="Q266" s="95"/>
    </row>
    <row r="267" spans="1:17" ht="15.75" thickBot="1">
      <c r="A267" s="19"/>
      <c r="B267" s="45"/>
      <c r="C267" s="21"/>
      <c r="D267" s="32"/>
      <c r="E267" s="21"/>
      <c r="F267" s="16"/>
      <c r="G267" s="16"/>
      <c r="H267" s="19" t="s">
        <v>150</v>
      </c>
      <c r="I267" s="19" t="s">
        <v>151</v>
      </c>
      <c r="J267" s="19" t="s">
        <v>96</v>
      </c>
      <c r="K267" s="19" t="s">
        <v>42</v>
      </c>
      <c r="L267" s="28"/>
      <c r="M267" s="16"/>
      <c r="N267" s="16"/>
      <c r="Q267" s="95"/>
    </row>
    <row r="268" spans="1:17" ht="15.75" thickBot="1">
      <c r="A268" s="158" t="s">
        <v>140</v>
      </c>
      <c r="B268" s="45" t="s">
        <v>54</v>
      </c>
      <c r="C268" s="19" t="s">
        <v>96</v>
      </c>
      <c r="D268" s="19"/>
      <c r="E268" s="19"/>
      <c r="F268" s="16" t="s">
        <v>54</v>
      </c>
      <c r="G268" s="162" t="s">
        <v>96</v>
      </c>
      <c r="H268" s="19">
        <v>680</v>
      </c>
      <c r="I268" s="19">
        <v>0.7</v>
      </c>
      <c r="J268" s="19">
        <f>I268*H268</f>
        <v>475.99999999999994</v>
      </c>
      <c r="K268" s="28">
        <f>+J268+J269</f>
        <v>788</v>
      </c>
      <c r="L268" s="28"/>
      <c r="M268" s="19">
        <v>0.125</v>
      </c>
      <c r="N268" s="24">
        <f>M268*K268</f>
        <v>98.5</v>
      </c>
      <c r="Q268" s="95"/>
    </row>
    <row r="269" spans="1:17" ht="15.75" thickBot="1">
      <c r="A269" s="19"/>
      <c r="B269" s="45"/>
      <c r="C269" s="19"/>
      <c r="D269" s="19"/>
      <c r="E269" s="19"/>
      <c r="F269" s="16"/>
      <c r="G269" s="16"/>
      <c r="H269" s="19">
        <v>520</v>
      </c>
      <c r="I269" s="19">
        <v>0.6</v>
      </c>
      <c r="J269" s="19">
        <f>I269*H269</f>
        <v>312</v>
      </c>
      <c r="K269" s="31" t="s">
        <v>96</v>
      </c>
      <c r="L269" s="28"/>
      <c r="M269" s="16"/>
      <c r="N269" s="120"/>
      <c r="Q269" s="95"/>
    </row>
    <row r="270" spans="1:17" ht="15.75" thickBot="1">
      <c r="A270" s="19"/>
      <c r="B270" s="45"/>
      <c r="C270" s="19"/>
      <c r="D270" s="19"/>
      <c r="E270" s="19"/>
      <c r="F270" s="16"/>
      <c r="G270" s="16"/>
      <c r="H270" s="16"/>
      <c r="I270" s="16"/>
      <c r="J270" s="16"/>
      <c r="K270" s="16"/>
      <c r="L270" s="16"/>
      <c r="M270" s="16"/>
      <c r="N270" s="16"/>
      <c r="Q270" s="95"/>
    </row>
    <row r="271" spans="1:17" ht="15.75" thickBot="1">
      <c r="A271" s="158" t="s">
        <v>140</v>
      </c>
      <c r="B271" s="156" t="s">
        <v>55</v>
      </c>
      <c r="C271" s="19" t="s">
        <v>96</v>
      </c>
      <c r="D271" s="19"/>
      <c r="E271" s="19"/>
      <c r="F271" s="16" t="s">
        <v>26</v>
      </c>
      <c r="G271" s="162" t="s">
        <v>96</v>
      </c>
      <c r="H271" s="19" t="s">
        <v>147</v>
      </c>
      <c r="I271" s="19" t="s">
        <v>147</v>
      </c>
      <c r="J271" s="19" t="s">
        <v>147</v>
      </c>
      <c r="K271" s="19">
        <v>94</v>
      </c>
      <c r="L271" s="19"/>
      <c r="M271" s="19" t="s">
        <v>147</v>
      </c>
      <c r="N271" s="19" t="s">
        <v>147</v>
      </c>
      <c r="Q271" s="95"/>
    </row>
    <row r="272" spans="1:17" ht="15.75" thickBot="1">
      <c r="A272" s="19"/>
      <c r="B272" s="47"/>
      <c r="C272" s="20"/>
      <c r="D272" s="20"/>
      <c r="E272" s="20"/>
      <c r="F272" s="16"/>
      <c r="G272" s="16"/>
      <c r="H272" s="16"/>
      <c r="I272" s="16"/>
      <c r="J272" s="16"/>
      <c r="K272" s="16"/>
      <c r="L272" s="16"/>
      <c r="M272" s="16"/>
      <c r="N272" s="16"/>
      <c r="Q272" s="95"/>
    </row>
    <row r="273" spans="1:17" ht="15.75" thickBot="1">
      <c r="A273" s="158" t="s">
        <v>141</v>
      </c>
      <c r="B273" s="157" t="s">
        <v>89</v>
      </c>
      <c r="C273" s="42"/>
      <c r="D273" s="42"/>
      <c r="E273" s="71" t="s">
        <v>58</v>
      </c>
      <c r="F273" s="16"/>
      <c r="G273" s="16"/>
      <c r="H273" s="16"/>
      <c r="I273" s="16"/>
      <c r="J273" s="16"/>
      <c r="K273" s="16"/>
      <c r="L273" s="16"/>
      <c r="M273" s="16"/>
      <c r="N273" s="16"/>
      <c r="Q273" s="95"/>
    </row>
    <row r="274" spans="7:17" ht="15">
      <c r="G274" s="101"/>
      <c r="K274" s="101"/>
      <c r="L274" s="101"/>
      <c r="Q274" s="95"/>
    </row>
    <row r="275" spans="7:17" ht="15">
      <c r="G275" s="101"/>
      <c r="K275" s="101"/>
      <c r="L275" s="101"/>
      <c r="Q275" s="95"/>
    </row>
    <row r="276" spans="7:17" ht="15">
      <c r="G276" s="101"/>
      <c r="K276" s="101"/>
      <c r="L276" s="101"/>
      <c r="Q276" s="95"/>
    </row>
    <row r="277" spans="7:17" ht="15">
      <c r="G277" s="101"/>
      <c r="K277" s="101"/>
      <c r="L277" s="101"/>
      <c r="Q277" s="95"/>
    </row>
    <row r="278" spans="7:17" ht="15">
      <c r="G278" s="101"/>
      <c r="K278" s="101"/>
      <c r="L278" s="101"/>
      <c r="Q278" s="95"/>
    </row>
    <row r="279" spans="7:17" ht="15">
      <c r="G279" s="101"/>
      <c r="K279" s="101"/>
      <c r="L279" s="101"/>
      <c r="Q279" s="95"/>
    </row>
    <row r="280" spans="7:17" ht="15">
      <c r="G280" s="101"/>
      <c r="K280" s="101"/>
      <c r="L280" s="101"/>
      <c r="Q280" s="95"/>
    </row>
    <row r="281" spans="4:17" ht="26.25">
      <c r="D281" s="175" t="s">
        <v>60</v>
      </c>
      <c r="G281" s="101"/>
      <c r="J281" s="175" t="s">
        <v>60</v>
      </c>
      <c r="K281" s="101"/>
      <c r="L281" s="101"/>
      <c r="Q281" s="95"/>
    </row>
    <row r="282" spans="4:17" ht="26.25">
      <c r="D282" s="175" t="s">
        <v>61</v>
      </c>
      <c r="E282" s="176" t="s">
        <v>104</v>
      </c>
      <c r="G282" s="101"/>
      <c r="H282" s="16"/>
      <c r="I282" s="16"/>
      <c r="J282" s="175" t="s">
        <v>61</v>
      </c>
      <c r="K282" s="65"/>
      <c r="L282" s="65"/>
      <c r="M282" s="16"/>
      <c r="N282" s="16"/>
      <c r="Q282" s="95"/>
    </row>
    <row r="283" spans="5:17" ht="26.25">
      <c r="E283" s="175"/>
      <c r="F283" s="175"/>
      <c r="G283" s="65"/>
      <c r="H283" s="16"/>
      <c r="I283" s="16"/>
      <c r="J283" s="16"/>
      <c r="K283" s="65"/>
      <c r="L283" s="65"/>
      <c r="M283" s="16"/>
      <c r="N283" s="16"/>
      <c r="Q283" s="95"/>
    </row>
    <row r="284" spans="6:14" ht="27" thickBot="1">
      <c r="F284" s="175"/>
      <c r="G284" s="65"/>
      <c r="H284" s="16"/>
      <c r="I284" s="16"/>
      <c r="J284" s="16"/>
      <c r="K284" s="16"/>
      <c r="L284" s="16"/>
      <c r="M284" s="16"/>
      <c r="N284" s="16"/>
    </row>
    <row r="285" spans="4:15" ht="15.75" thickBot="1">
      <c r="D285" s="16"/>
      <c r="E285" s="16"/>
      <c r="F285" s="16"/>
      <c r="G285" s="65"/>
      <c r="H285" s="16"/>
      <c r="J285" s="16"/>
      <c r="K285" s="41" t="s">
        <v>113</v>
      </c>
      <c r="L285" s="41"/>
      <c r="M285" s="41" t="s">
        <v>112</v>
      </c>
      <c r="N285" s="42" t="s">
        <v>233</v>
      </c>
      <c r="O285" s="43" t="s">
        <v>16</v>
      </c>
    </row>
    <row r="286" spans="4:15" ht="15.75" thickBot="1">
      <c r="D286" s="16"/>
      <c r="E286" s="41" t="s">
        <v>14</v>
      </c>
      <c r="F286" s="42" t="s">
        <v>15</v>
      </c>
      <c r="G286" s="89" t="s">
        <v>16</v>
      </c>
      <c r="H286" s="16"/>
      <c r="J286" s="19" t="s">
        <v>109</v>
      </c>
      <c r="K286" s="21">
        <v>300</v>
      </c>
      <c r="L286" s="21"/>
      <c r="M286" s="200"/>
      <c r="N286" s="202">
        <f>+F287</f>
        <v>75.65685996691481</v>
      </c>
      <c r="O286" s="84">
        <f>+N286*K286</f>
        <v>22697.05799007444</v>
      </c>
    </row>
    <row r="287" spans="4:15" ht="15">
      <c r="D287" s="19" t="s">
        <v>109</v>
      </c>
      <c r="E287" s="21">
        <v>300</v>
      </c>
      <c r="F287" s="83">
        <f>+F185</f>
        <v>75.65685996691481</v>
      </c>
      <c r="G287" s="84">
        <f>+F287*E287</f>
        <v>22697.05799007444</v>
      </c>
      <c r="H287" s="16"/>
      <c r="J287" s="19"/>
      <c r="K287" s="21"/>
      <c r="L287" s="21"/>
      <c r="M287" s="21"/>
      <c r="N287" s="202"/>
      <c r="O287" s="21"/>
    </row>
    <row r="288" spans="4:15" ht="15">
      <c r="D288" s="19"/>
      <c r="E288" s="21"/>
      <c r="F288" s="32"/>
      <c r="G288" s="84"/>
      <c r="H288" s="16"/>
      <c r="J288" s="19" t="s">
        <v>108</v>
      </c>
      <c r="K288" s="201">
        <f>N295</f>
        <v>0.015157344002462107</v>
      </c>
      <c r="L288" s="201"/>
      <c r="M288" s="200"/>
      <c r="N288" s="203">
        <f>K298</f>
        <v>53340</v>
      </c>
      <c r="O288" s="21">
        <v>808</v>
      </c>
    </row>
    <row r="289" spans="4:15" ht="15">
      <c r="D289" s="19" t="s">
        <v>108</v>
      </c>
      <c r="E289" s="21" t="s">
        <v>96</v>
      </c>
      <c r="F289" s="68"/>
      <c r="G289" s="84"/>
      <c r="H289" s="16"/>
      <c r="J289" s="19" t="s">
        <v>54</v>
      </c>
      <c r="K289" s="19">
        <v>788</v>
      </c>
      <c r="L289" s="19"/>
      <c r="M289" s="19">
        <v>0.125</v>
      </c>
      <c r="N289" s="19">
        <v>50</v>
      </c>
      <c r="O289" s="19">
        <f>N289*M289*K289</f>
        <v>4925</v>
      </c>
    </row>
    <row r="290" spans="4:15" ht="15">
      <c r="D290" s="19" t="s">
        <v>54</v>
      </c>
      <c r="E290" s="19" t="s">
        <v>96</v>
      </c>
      <c r="F290" s="19"/>
      <c r="G290" s="67"/>
      <c r="H290" s="16"/>
      <c r="J290" s="55" t="s">
        <v>55</v>
      </c>
      <c r="K290" s="19">
        <v>788</v>
      </c>
      <c r="L290" s="19"/>
      <c r="M290" s="19">
        <v>0.125</v>
      </c>
      <c r="N290" s="19">
        <v>20</v>
      </c>
      <c r="O290" s="19">
        <f>N290*M290*K290</f>
        <v>1970</v>
      </c>
    </row>
    <row r="291" spans="4:15" ht="15.75" thickBot="1">
      <c r="D291" s="55" t="s">
        <v>55</v>
      </c>
      <c r="E291" s="19" t="s">
        <v>96</v>
      </c>
      <c r="F291" s="19"/>
      <c r="G291" s="67"/>
      <c r="H291" s="16"/>
      <c r="J291" s="20"/>
      <c r="K291" s="20"/>
      <c r="L291" s="20"/>
      <c r="M291" s="20"/>
      <c r="N291" s="20"/>
      <c r="O291" s="20"/>
    </row>
    <row r="292" spans="4:15" ht="15.75" thickBot="1">
      <c r="D292" s="20"/>
      <c r="E292" s="20"/>
      <c r="F292" s="20"/>
      <c r="G292" s="90"/>
      <c r="H292" s="16"/>
      <c r="J292" s="41" t="s">
        <v>89</v>
      </c>
      <c r="K292" s="42"/>
      <c r="L292" s="42"/>
      <c r="M292" s="42"/>
      <c r="N292" s="42"/>
      <c r="O292" s="93">
        <f>O290+O289+O288+O286</f>
        <v>30400.05799007444</v>
      </c>
    </row>
    <row r="293" spans="4:14" ht="15.75" thickBot="1">
      <c r="D293" s="41" t="s">
        <v>89</v>
      </c>
      <c r="E293" s="42"/>
      <c r="F293" s="42"/>
      <c r="G293" s="91" t="s">
        <v>58</v>
      </c>
      <c r="H293" s="16"/>
      <c r="I293" s="16"/>
      <c r="J293" s="16"/>
      <c r="K293" s="16"/>
      <c r="L293" s="16"/>
      <c r="M293" s="16"/>
      <c r="N293" s="16"/>
    </row>
    <row r="294" spans="4:15" ht="15">
      <c r="D294" s="16"/>
      <c r="E294" s="16"/>
      <c r="F294" s="16"/>
      <c r="G294" s="65"/>
      <c r="H294" s="16"/>
      <c r="I294" s="16"/>
      <c r="J294" s="16"/>
      <c r="K294" s="16"/>
      <c r="L294" s="16"/>
      <c r="M294" s="16"/>
      <c r="N294" s="16"/>
      <c r="O294" s="92"/>
    </row>
    <row r="295" spans="4:14" ht="15">
      <c r="D295" s="16"/>
      <c r="E295" s="16"/>
      <c r="F295" s="16"/>
      <c r="G295" s="65"/>
      <c r="H295" s="16"/>
      <c r="I295" s="16"/>
      <c r="J295" s="16"/>
      <c r="K295" s="44">
        <v>788</v>
      </c>
      <c r="L295" s="299"/>
      <c r="M295" s="225" t="s">
        <v>141</v>
      </c>
      <c r="N295" s="226">
        <f>K295/K296</f>
        <v>0.015157344002462107</v>
      </c>
    </row>
    <row r="296" spans="4:14" ht="15">
      <c r="D296" s="40" t="s">
        <v>97</v>
      </c>
      <c r="E296" s="16"/>
      <c r="F296" s="16"/>
      <c r="G296" s="65"/>
      <c r="H296" s="16"/>
      <c r="I296" s="16"/>
      <c r="J296" s="16"/>
      <c r="K296" s="104">
        <v>51988</v>
      </c>
      <c r="L296" s="28"/>
      <c r="M296" s="28"/>
      <c r="N296" s="103"/>
    </row>
    <row r="297" spans="4:14" ht="15">
      <c r="D297" s="40" t="s">
        <v>105</v>
      </c>
      <c r="E297" s="16"/>
      <c r="F297" s="16"/>
      <c r="G297" s="65"/>
      <c r="H297" s="16"/>
      <c r="I297" s="16"/>
      <c r="J297" s="16"/>
      <c r="K297" s="104"/>
      <c r="L297" s="28"/>
      <c r="M297" s="28"/>
      <c r="N297" s="103"/>
    </row>
    <row r="298" spans="4:14" ht="15">
      <c r="D298" s="16"/>
      <c r="E298" s="16"/>
      <c r="F298" s="16"/>
      <c r="G298" s="65"/>
      <c r="H298" s="16"/>
      <c r="I298" s="16"/>
      <c r="J298" s="16"/>
      <c r="K298" s="119">
        <v>53340</v>
      </c>
      <c r="L298" s="305"/>
      <c r="M298" s="227">
        <f>+N295</f>
        <v>0.015157344002462107</v>
      </c>
      <c r="N298" s="228">
        <f>+M298*K298</f>
        <v>808.4927290913288</v>
      </c>
    </row>
    <row r="299" spans="4:14" ht="15">
      <c r="D299" s="16"/>
      <c r="E299" s="16"/>
      <c r="F299" s="16"/>
      <c r="G299" s="65"/>
      <c r="H299" s="16"/>
      <c r="I299" s="16"/>
      <c r="J299" s="16"/>
      <c r="K299" s="16"/>
      <c r="L299" s="16"/>
      <c r="M299" s="16"/>
      <c r="N299" s="16"/>
    </row>
    <row r="300" spans="4:14" ht="15">
      <c r="D300" s="16"/>
      <c r="E300" s="16"/>
      <c r="F300" s="16"/>
      <c r="G300" s="65"/>
      <c r="H300" s="16"/>
      <c r="I300" s="16"/>
      <c r="J300" s="16"/>
      <c r="K300" s="16"/>
      <c r="L300" s="16"/>
      <c r="M300" s="16"/>
      <c r="N300" s="16"/>
    </row>
    <row r="301" spans="4:14" ht="15">
      <c r="D301" s="16"/>
      <c r="E301" s="16"/>
      <c r="F301" s="16"/>
      <c r="G301" s="65"/>
      <c r="H301" s="16"/>
      <c r="I301" s="16"/>
      <c r="J301" s="16"/>
      <c r="K301" s="16"/>
      <c r="L301" s="16"/>
      <c r="M301" s="16"/>
      <c r="N301" s="16"/>
    </row>
    <row r="302" spans="4:14" ht="15">
      <c r="D302" s="16"/>
      <c r="E302" s="16"/>
      <c r="F302" s="16"/>
      <c r="G302" s="65"/>
      <c r="H302" s="16"/>
      <c r="I302" s="16"/>
      <c r="J302" s="16"/>
      <c r="K302" s="16"/>
      <c r="L302" s="16"/>
      <c r="M302" s="16"/>
      <c r="N302" s="16"/>
    </row>
    <row r="303" spans="4:14" ht="15">
      <c r="D303" s="16"/>
      <c r="E303" s="16"/>
      <c r="F303" s="16"/>
      <c r="G303" s="65"/>
      <c r="H303" s="16"/>
      <c r="I303" s="16"/>
      <c r="J303" s="16"/>
      <c r="K303" s="16"/>
      <c r="L303" s="16"/>
      <c r="M303" s="16"/>
      <c r="N303" s="16"/>
    </row>
    <row r="304" spans="4:14" ht="15">
      <c r="D304" s="16"/>
      <c r="E304" s="16"/>
      <c r="F304" s="16"/>
      <c r="G304" s="65"/>
      <c r="H304" s="16"/>
      <c r="I304" s="16"/>
      <c r="J304" s="16"/>
      <c r="K304" s="16"/>
      <c r="L304" s="16"/>
      <c r="M304" s="16"/>
      <c r="N304" s="16"/>
    </row>
    <row r="305" spans="4:14" ht="15">
      <c r="D305" s="16"/>
      <c r="E305" s="16"/>
      <c r="F305" s="16"/>
      <c r="G305" s="65"/>
      <c r="H305" s="16"/>
      <c r="I305" s="16"/>
      <c r="J305" s="16"/>
      <c r="K305" s="16"/>
      <c r="L305" s="16"/>
      <c r="M305" s="16"/>
      <c r="N305" s="16"/>
    </row>
    <row r="306" spans="4:14" ht="15">
      <c r="D306" s="16"/>
      <c r="E306" s="16"/>
      <c r="F306" s="16"/>
      <c r="G306" s="65"/>
      <c r="H306" s="16"/>
      <c r="I306" s="16"/>
      <c r="J306" s="16"/>
      <c r="K306" s="16"/>
      <c r="L306" s="16"/>
      <c r="M306" s="16"/>
      <c r="N306" s="16"/>
    </row>
    <row r="307" spans="4:14" ht="15">
      <c r="D307" s="16"/>
      <c r="E307" s="16"/>
      <c r="F307" s="16"/>
      <c r="G307" s="65"/>
      <c r="H307" s="16"/>
      <c r="I307" s="16"/>
      <c r="J307" s="16"/>
      <c r="K307" s="16"/>
      <c r="L307" s="16"/>
      <c r="M307" s="16"/>
      <c r="N307" s="16"/>
    </row>
    <row r="308" spans="4:14" ht="15">
      <c r="D308" s="16"/>
      <c r="E308" s="16"/>
      <c r="F308" s="16"/>
      <c r="G308" s="65"/>
      <c r="H308" s="16"/>
      <c r="I308" s="16"/>
      <c r="J308" s="16"/>
      <c r="K308" s="16"/>
      <c r="L308" s="16"/>
      <c r="M308" s="16"/>
      <c r="N308" s="16"/>
    </row>
    <row r="309" spans="4:14" ht="15">
      <c r="D309" s="16"/>
      <c r="E309" s="16"/>
      <c r="F309" s="16"/>
      <c r="G309" s="65"/>
      <c r="H309" s="16"/>
      <c r="I309" s="16"/>
      <c r="J309" s="16"/>
      <c r="K309" s="16"/>
      <c r="L309" s="16"/>
      <c r="M309" s="16"/>
      <c r="N309" s="16"/>
    </row>
    <row r="310" spans="4:14" ht="15">
      <c r="D310" s="16"/>
      <c r="E310" s="16"/>
      <c r="F310" s="16"/>
      <c r="G310" s="65"/>
      <c r="H310" s="16"/>
      <c r="I310" s="16"/>
      <c r="J310" s="16"/>
      <c r="K310" s="16"/>
      <c r="L310" s="16"/>
      <c r="M310" s="16"/>
      <c r="N310" s="16"/>
    </row>
    <row r="311" spans="4:14" ht="15">
      <c r="D311" s="16"/>
      <c r="E311" s="16"/>
      <c r="F311" s="16"/>
      <c r="G311" s="65"/>
      <c r="H311" s="16"/>
      <c r="I311" s="16"/>
      <c r="J311" s="16"/>
      <c r="K311" s="16"/>
      <c r="L311" s="16"/>
      <c r="M311" s="16"/>
      <c r="N311" s="16"/>
    </row>
    <row r="312" spans="4:14" ht="15">
      <c r="D312" s="16"/>
      <c r="E312" s="16"/>
      <c r="F312" s="16"/>
      <c r="G312" s="65"/>
      <c r="H312" s="16"/>
      <c r="I312" s="16"/>
      <c r="J312" s="16"/>
      <c r="K312" s="16"/>
      <c r="L312" s="16"/>
      <c r="M312" s="16"/>
      <c r="N312" s="16"/>
    </row>
    <row r="313" spans="4:14" ht="18.75">
      <c r="D313" s="197" t="s">
        <v>106</v>
      </c>
      <c r="E313" s="16"/>
      <c r="F313" s="16"/>
      <c r="G313" s="65"/>
      <c r="H313" s="16"/>
      <c r="I313" s="16"/>
      <c r="J313" s="16"/>
      <c r="K313" s="16"/>
      <c r="L313" s="16"/>
      <c r="M313" s="16"/>
      <c r="N313" s="16"/>
    </row>
    <row r="314" spans="4:14" ht="15.75" thickBot="1">
      <c r="D314" s="40"/>
      <c r="E314" s="16"/>
      <c r="F314" s="16"/>
      <c r="G314" s="65"/>
      <c r="M314" s="16"/>
      <c r="N314" s="16"/>
    </row>
    <row r="315" spans="4:14" ht="15.75" thickBot="1">
      <c r="D315" s="41" t="s">
        <v>107</v>
      </c>
      <c r="E315" s="42" t="s">
        <v>14</v>
      </c>
      <c r="F315" s="42" t="s">
        <v>15</v>
      </c>
      <c r="G315" s="170" t="s">
        <v>16</v>
      </c>
      <c r="H315" s="42"/>
      <c r="I315" s="42" t="s">
        <v>14</v>
      </c>
      <c r="J315" s="42" t="s">
        <v>15</v>
      </c>
      <c r="K315" s="43" t="s">
        <v>16</v>
      </c>
      <c r="L315" s="28"/>
      <c r="M315" s="16"/>
      <c r="N315" s="16"/>
    </row>
    <row r="316" spans="4:14" ht="15">
      <c r="D316" s="21" t="s">
        <v>10</v>
      </c>
      <c r="E316" s="21">
        <v>0</v>
      </c>
      <c r="F316" s="21">
        <v>0</v>
      </c>
      <c r="G316" s="84">
        <v>0</v>
      </c>
      <c r="H316" s="21" t="s">
        <v>31</v>
      </c>
      <c r="I316" s="21">
        <v>13000</v>
      </c>
      <c r="J316" s="81">
        <f>+F321</f>
        <v>75.65685996691481</v>
      </c>
      <c r="K316" s="21">
        <f>+J316*I316</f>
        <v>983539.1795698925</v>
      </c>
      <c r="L316" s="28"/>
      <c r="M316" s="16"/>
      <c r="N316" s="16"/>
    </row>
    <row r="317" spans="4:12" ht="15">
      <c r="D317" s="19"/>
      <c r="E317" s="19"/>
      <c r="F317" s="19"/>
      <c r="G317" s="67"/>
      <c r="H317" s="19"/>
      <c r="I317" s="19"/>
      <c r="J317" s="19"/>
      <c r="K317" s="19"/>
      <c r="L317" s="28"/>
    </row>
    <row r="318" spans="4:12" ht="15">
      <c r="D318" s="19"/>
      <c r="E318" s="19"/>
      <c r="F318" s="19"/>
      <c r="G318" s="67"/>
      <c r="H318" s="19"/>
      <c r="I318" s="19"/>
      <c r="J318" s="19"/>
      <c r="K318" s="19"/>
      <c r="L318" s="28"/>
    </row>
    <row r="319" spans="4:12" ht="15">
      <c r="D319" s="19"/>
      <c r="E319" s="19"/>
      <c r="F319" s="19"/>
      <c r="G319" s="67"/>
      <c r="H319" s="19"/>
      <c r="I319" s="19"/>
      <c r="J319" s="19"/>
      <c r="K319" s="19"/>
      <c r="L319" s="28"/>
    </row>
    <row r="320" spans="4:12" ht="15">
      <c r="D320" s="19"/>
      <c r="E320" s="19"/>
      <c r="F320" s="19"/>
      <c r="G320" s="67"/>
      <c r="H320" s="19"/>
      <c r="I320" s="19"/>
      <c r="J320" s="19"/>
      <c r="K320" s="19"/>
      <c r="L320" s="28"/>
    </row>
    <row r="321" spans="4:12" ht="15">
      <c r="D321" s="19" t="s">
        <v>23</v>
      </c>
      <c r="E321" s="19">
        <v>13000</v>
      </c>
      <c r="F321" s="69">
        <f>+G321/E321</f>
        <v>75.65685996691481</v>
      </c>
      <c r="G321" s="67">
        <f>+G185</f>
        <v>983539.1795698925</v>
      </c>
      <c r="H321" s="19" t="s">
        <v>34</v>
      </c>
      <c r="I321" s="19">
        <v>0</v>
      </c>
      <c r="J321" s="19">
        <v>0</v>
      </c>
      <c r="K321" s="19">
        <v>0</v>
      </c>
      <c r="L321" s="28"/>
    </row>
    <row r="322" spans="4:12" ht="15.75" thickBot="1">
      <c r="D322" s="20"/>
      <c r="E322" s="20"/>
      <c r="F322" s="20"/>
      <c r="G322" s="90"/>
      <c r="H322" s="20"/>
      <c r="I322" s="20"/>
      <c r="J322" s="20"/>
      <c r="K322" s="20"/>
      <c r="L322" s="28"/>
    </row>
    <row r="323" spans="4:12" ht="15.75" thickBot="1">
      <c r="D323" s="41" t="s">
        <v>22</v>
      </c>
      <c r="E323" s="42">
        <f>E321+E316</f>
        <v>13000</v>
      </c>
      <c r="F323" s="82">
        <f>+G323/E323</f>
        <v>75.65685996691481</v>
      </c>
      <c r="G323" s="170">
        <f>+G321+G316</f>
        <v>983539.1795698925</v>
      </c>
      <c r="H323" s="42" t="s">
        <v>22</v>
      </c>
      <c r="I323" s="42">
        <f>I321+I316</f>
        <v>13000</v>
      </c>
      <c r="J323" s="82">
        <f>+K323/I323</f>
        <v>75.65685996691481</v>
      </c>
      <c r="K323" s="42">
        <f>+K321+K316</f>
        <v>983539.1795698925</v>
      </c>
      <c r="L323" s="28"/>
    </row>
    <row r="324" ht="15">
      <c r="G324" s="101"/>
    </row>
    <row r="325" ht="15">
      <c r="G325" s="101"/>
    </row>
    <row r="326" ht="15">
      <c r="G326" s="101"/>
    </row>
    <row r="327" ht="15">
      <c r="G327" s="101"/>
    </row>
    <row r="328" spans="4:7" ht="19.5" thickBot="1">
      <c r="D328" s="145" t="s">
        <v>180</v>
      </c>
      <c r="E328" s="16"/>
      <c r="F328" s="16"/>
      <c r="G328" s="65"/>
    </row>
    <row r="329" spans="4:7" ht="15.75" thickBot="1">
      <c r="D329" s="16"/>
      <c r="E329" s="54" t="s">
        <v>14</v>
      </c>
      <c r="F329" s="54" t="s">
        <v>15</v>
      </c>
      <c r="G329" s="171" t="s">
        <v>16</v>
      </c>
    </row>
    <row r="330" spans="4:7" ht="15.75" thickBot="1">
      <c r="D330" s="41" t="s">
        <v>51</v>
      </c>
      <c r="E330" s="42"/>
      <c r="F330" s="42"/>
      <c r="G330" s="89" t="s">
        <v>52</v>
      </c>
    </row>
    <row r="331" spans="4:7" ht="15">
      <c r="D331" s="21"/>
      <c r="E331" s="21"/>
      <c r="F331" s="21"/>
      <c r="G331" s="84"/>
    </row>
    <row r="332" spans="4:7" ht="15">
      <c r="D332" s="21" t="s">
        <v>100</v>
      </c>
      <c r="E332" s="21"/>
      <c r="F332" s="33" t="s">
        <v>101</v>
      </c>
      <c r="G332" s="84"/>
    </row>
    <row r="333" spans="4:7" ht="15">
      <c r="D333" s="19" t="s">
        <v>53</v>
      </c>
      <c r="E333" s="19" t="s">
        <v>56</v>
      </c>
      <c r="F333" s="19"/>
      <c r="G333" s="67"/>
    </row>
    <row r="334" spans="4:7" ht="15">
      <c r="D334" s="19" t="s">
        <v>54</v>
      </c>
      <c r="E334" s="19"/>
      <c r="F334" s="19"/>
      <c r="G334" s="67"/>
    </row>
    <row r="335" spans="4:7" ht="15">
      <c r="D335" s="55" t="s">
        <v>55</v>
      </c>
      <c r="E335" s="19"/>
      <c r="F335" s="19"/>
      <c r="G335" s="67"/>
    </row>
    <row r="336" spans="4:7" ht="15.75" thickBot="1">
      <c r="D336" s="20"/>
      <c r="E336" s="20"/>
      <c r="F336" s="20"/>
      <c r="G336" s="90"/>
    </row>
    <row r="337" spans="4:7" ht="15.75" thickBot="1">
      <c r="D337" s="72" t="s">
        <v>57</v>
      </c>
      <c r="E337" s="42"/>
      <c r="F337" s="42"/>
      <c r="G337" s="91" t="s">
        <v>58</v>
      </c>
    </row>
    <row r="338" spans="4:7" ht="15.75" thickBot="1">
      <c r="D338" s="16"/>
      <c r="E338" s="16"/>
      <c r="F338" s="16"/>
      <c r="G338" s="65"/>
    </row>
    <row r="339" spans="4:7" ht="15.75" thickBot="1">
      <c r="D339" s="41" t="s">
        <v>59</v>
      </c>
      <c r="E339" s="42">
        <v>13000</v>
      </c>
      <c r="F339" s="73">
        <f>+G339/E339</f>
        <v>75.65684615384616</v>
      </c>
      <c r="G339" s="89">
        <v>983539</v>
      </c>
    </row>
    <row r="340" ht="15">
      <c r="G340" s="101"/>
    </row>
    <row r="341" ht="15">
      <c r="G341" s="101"/>
    </row>
    <row r="342" ht="15">
      <c r="G342" s="101"/>
    </row>
    <row r="343" spans="4:7" ht="19.5" thickBot="1">
      <c r="D343" s="145" t="s">
        <v>180</v>
      </c>
      <c r="E343" s="16"/>
      <c r="F343" s="16"/>
      <c r="G343" s="65"/>
    </row>
    <row r="344" spans="4:7" ht="15.75" thickBot="1">
      <c r="D344" s="16"/>
      <c r="E344" s="54" t="s">
        <v>14</v>
      </c>
      <c r="F344" s="54" t="s">
        <v>15</v>
      </c>
      <c r="G344" s="171" t="s">
        <v>16</v>
      </c>
    </row>
    <row r="345" spans="4:7" ht="15.75" thickBot="1">
      <c r="D345" s="41" t="s">
        <v>51</v>
      </c>
      <c r="E345" s="42"/>
      <c r="F345" s="42"/>
      <c r="G345" s="89">
        <v>20379</v>
      </c>
    </row>
    <row r="346" spans="4:7" ht="15">
      <c r="D346" s="21"/>
      <c r="E346" s="21"/>
      <c r="F346" s="21"/>
      <c r="G346" s="84"/>
    </row>
    <row r="347" spans="4:7" ht="15">
      <c r="D347" s="21" t="s">
        <v>100</v>
      </c>
      <c r="E347" s="21">
        <v>13000</v>
      </c>
      <c r="F347" s="88">
        <f>+J316</f>
        <v>75.65685996691481</v>
      </c>
      <c r="G347" s="84">
        <f>+F347*E347</f>
        <v>983539.1795698925</v>
      </c>
    </row>
    <row r="348" spans="4:7" ht="15">
      <c r="D348" s="19" t="s">
        <v>53</v>
      </c>
      <c r="E348" s="19">
        <f>I244</f>
        <v>210</v>
      </c>
      <c r="F348" s="57">
        <f>J244</f>
        <v>254</v>
      </c>
      <c r="G348" s="84">
        <f>+F348*E348</f>
        <v>53340</v>
      </c>
    </row>
    <row r="349" spans="4:7" ht="15">
      <c r="D349" s="19" t="s">
        <v>54</v>
      </c>
      <c r="E349" s="19">
        <v>6600</v>
      </c>
      <c r="F349" s="19">
        <v>50</v>
      </c>
      <c r="G349" s="84">
        <f>+F349*E349</f>
        <v>330000</v>
      </c>
    </row>
    <row r="350" spans="4:7" ht="15">
      <c r="D350" s="55" t="s">
        <v>55</v>
      </c>
      <c r="E350" s="19">
        <v>6600</v>
      </c>
      <c r="F350" s="19">
        <v>20</v>
      </c>
      <c r="G350" s="84">
        <f>+F350*E350</f>
        <v>132000</v>
      </c>
    </row>
    <row r="351" spans="4:7" ht="15.75" thickBot="1">
      <c r="D351" s="20"/>
      <c r="E351" s="20"/>
      <c r="F351" s="20"/>
      <c r="G351" s="90"/>
    </row>
    <row r="352" spans="4:7" ht="15.75" thickBot="1">
      <c r="D352" s="72" t="s">
        <v>57</v>
      </c>
      <c r="E352" s="42"/>
      <c r="F352" s="42"/>
      <c r="G352" s="91">
        <f>-O292</f>
        <v>-30400.05799007444</v>
      </c>
    </row>
    <row r="353" spans="4:7" ht="15.75" thickBot="1">
      <c r="D353" s="16"/>
      <c r="E353" s="16"/>
      <c r="F353" s="16"/>
      <c r="G353" s="65"/>
    </row>
    <row r="354" spans="4:7" ht="15.75" thickBot="1">
      <c r="D354" s="41" t="s">
        <v>59</v>
      </c>
      <c r="E354" s="42">
        <v>52000</v>
      </c>
      <c r="F354" s="78">
        <f>+G354/E354</f>
        <v>28.631886953458043</v>
      </c>
      <c r="G354" s="89">
        <f>SUM(G345:G352)</f>
        <v>1488858.1215798182</v>
      </c>
    </row>
    <row r="355" ht="15">
      <c r="G355" s="101"/>
    </row>
    <row r="356" spans="7:12" ht="15">
      <c r="G356" s="101"/>
      <c r="H356" s="16"/>
      <c r="I356" s="16"/>
      <c r="J356" s="16"/>
      <c r="K356" s="16"/>
      <c r="L356" s="16"/>
    </row>
    <row r="357" spans="4:12" ht="18.75">
      <c r="D357" s="197" t="s">
        <v>95</v>
      </c>
      <c r="E357" s="16"/>
      <c r="F357" s="16"/>
      <c r="G357" s="65"/>
      <c r="H357" s="16"/>
      <c r="I357" s="16"/>
      <c r="J357" s="16"/>
      <c r="K357" s="16"/>
      <c r="L357" s="16"/>
    </row>
    <row r="358" spans="4:7" ht="15.75" thickBot="1">
      <c r="D358" s="40"/>
      <c r="E358" s="16"/>
      <c r="F358" s="16"/>
      <c r="G358" s="65"/>
    </row>
    <row r="359" spans="4:12" ht="15.75" thickBot="1">
      <c r="D359" s="41" t="s">
        <v>122</v>
      </c>
      <c r="E359" s="42" t="s">
        <v>14</v>
      </c>
      <c r="F359" s="42" t="s">
        <v>15</v>
      </c>
      <c r="G359" s="170" t="s">
        <v>16</v>
      </c>
      <c r="H359" s="42"/>
      <c r="I359" s="42" t="s">
        <v>14</v>
      </c>
      <c r="J359" s="42" t="s">
        <v>15</v>
      </c>
      <c r="K359" s="43" t="s">
        <v>16</v>
      </c>
      <c r="L359" s="28"/>
    </row>
    <row r="360" spans="4:12" ht="15">
      <c r="D360" s="103"/>
      <c r="E360" s="85"/>
      <c r="F360" s="85"/>
      <c r="G360" s="172"/>
      <c r="H360" s="85"/>
      <c r="I360" s="85"/>
      <c r="J360" s="85"/>
      <c r="K360" s="104"/>
      <c r="L360" s="28"/>
    </row>
    <row r="361" spans="4:12" ht="15">
      <c r="D361" s="19" t="s">
        <v>10</v>
      </c>
      <c r="E361" s="46">
        <v>2000</v>
      </c>
      <c r="F361" s="105">
        <v>29.3</v>
      </c>
      <c r="G361" s="67">
        <f>F361*E361</f>
        <v>58600</v>
      </c>
      <c r="H361" s="19" t="s">
        <v>31</v>
      </c>
      <c r="I361" s="46">
        <f>1500*3*10</f>
        <v>45000</v>
      </c>
      <c r="J361" s="57"/>
      <c r="K361" s="19"/>
      <c r="L361" s="28"/>
    </row>
    <row r="362" spans="4:12" ht="15.75" thickBot="1">
      <c r="D362" s="19"/>
      <c r="E362" s="46"/>
      <c r="F362" s="19"/>
      <c r="G362" s="67"/>
      <c r="H362" s="19"/>
      <c r="I362" s="239">
        <v>7200</v>
      </c>
      <c r="J362" s="111"/>
      <c r="K362" s="111"/>
      <c r="L362" s="28"/>
    </row>
    <row r="363" spans="4:12" ht="15.75" thickTop="1">
      <c r="D363" s="19"/>
      <c r="E363" s="46"/>
      <c r="F363" s="19"/>
      <c r="G363" s="67"/>
      <c r="H363" s="19"/>
      <c r="I363" s="48">
        <f>I362+I361</f>
        <v>52200</v>
      </c>
      <c r="J363" s="77">
        <f>F367</f>
        <v>28.656631881107746</v>
      </c>
      <c r="K363" s="84">
        <f>J363*I363</f>
        <v>1495876.1841938244</v>
      </c>
      <c r="L363" s="128"/>
    </row>
    <row r="364" spans="4:12" ht="15">
      <c r="D364" s="19"/>
      <c r="E364" s="46"/>
      <c r="F364" s="19"/>
      <c r="G364" s="67"/>
      <c r="H364" s="19"/>
      <c r="I364" s="46"/>
      <c r="J364" s="19"/>
      <c r="K364" s="19"/>
      <c r="L364" s="28"/>
    </row>
    <row r="365" spans="4:12" ht="15">
      <c r="D365" s="19" t="s">
        <v>23</v>
      </c>
      <c r="E365" s="46">
        <f>E354</f>
        <v>52000</v>
      </c>
      <c r="F365" s="94">
        <f>G365/E365</f>
        <v>28.631886953458043</v>
      </c>
      <c r="G365" s="67">
        <f>G354</f>
        <v>1488858.1215798182</v>
      </c>
      <c r="H365" s="19" t="s">
        <v>34</v>
      </c>
      <c r="I365" s="46">
        <f>+E367-I363</f>
        <v>1800</v>
      </c>
      <c r="J365" s="57">
        <f>J363</f>
        <v>28.656631881107746</v>
      </c>
      <c r="K365" s="46">
        <f>+J365*I365</f>
        <v>51581.937385993944</v>
      </c>
      <c r="L365" s="211"/>
    </row>
    <row r="366" spans="4:12" ht="15.75" thickBot="1">
      <c r="D366" s="20"/>
      <c r="E366" s="70"/>
      <c r="F366" s="20"/>
      <c r="G366" s="90"/>
      <c r="H366" s="20"/>
      <c r="I366" s="70"/>
      <c r="J366" s="20"/>
      <c r="K366" s="20"/>
      <c r="L366" s="28"/>
    </row>
    <row r="367" spans="4:12" ht="15.75" thickBot="1">
      <c r="D367" s="106" t="s">
        <v>22</v>
      </c>
      <c r="E367" s="107">
        <f>+E365+E361</f>
        <v>54000</v>
      </c>
      <c r="F367" s="210">
        <f>+G367/E367</f>
        <v>28.656631881107746</v>
      </c>
      <c r="G367" s="109">
        <f>+G365+G361</f>
        <v>1547458.1215798182</v>
      </c>
      <c r="H367" s="110" t="s">
        <v>22</v>
      </c>
      <c r="I367" s="107">
        <f>I365+I363</f>
        <v>54000</v>
      </c>
      <c r="J367" s="108">
        <f>F367</f>
        <v>28.656631881107746</v>
      </c>
      <c r="K367" s="112">
        <f>K365+K363</f>
        <v>1547458.1215798184</v>
      </c>
      <c r="L367" s="306"/>
    </row>
    <row r="368" spans="5:9" ht="15">
      <c r="E368" s="95"/>
      <c r="G368" s="101"/>
      <c r="I368" s="95"/>
    </row>
    <row r="369" spans="4:12" ht="18.75">
      <c r="D369" s="197" t="s">
        <v>187</v>
      </c>
      <c r="E369" s="16"/>
      <c r="F369" s="16"/>
      <c r="G369" s="65"/>
      <c r="H369" s="16"/>
      <c r="I369" s="168"/>
      <c r="J369" s="16"/>
      <c r="K369" s="16"/>
      <c r="L369" s="16"/>
    </row>
    <row r="370" spans="4:9" ht="15.75" thickBot="1">
      <c r="D370" s="40"/>
      <c r="E370" s="16"/>
      <c r="F370" s="16"/>
      <c r="G370" s="65"/>
      <c r="I370" s="95"/>
    </row>
    <row r="371" spans="4:12" ht="15.75" thickBot="1">
      <c r="D371" s="41" t="s">
        <v>211</v>
      </c>
      <c r="E371" s="42" t="s">
        <v>14</v>
      </c>
      <c r="F371" s="42" t="s">
        <v>15</v>
      </c>
      <c r="G371" s="170" t="s">
        <v>16</v>
      </c>
      <c r="H371" s="42"/>
      <c r="I371" s="167" t="s">
        <v>14</v>
      </c>
      <c r="J371" s="42" t="s">
        <v>15</v>
      </c>
      <c r="K371" s="43" t="s">
        <v>16</v>
      </c>
      <c r="L371" s="28"/>
    </row>
    <row r="372" spans="4:12" ht="15">
      <c r="D372" s="103"/>
      <c r="E372" s="85"/>
      <c r="F372" s="85"/>
      <c r="G372" s="172"/>
      <c r="H372" s="85"/>
      <c r="I372" s="213"/>
      <c r="J372" s="85"/>
      <c r="K372" s="104"/>
      <c r="L372" s="28"/>
    </row>
    <row r="373" spans="4:12" ht="15">
      <c r="D373" s="19" t="s">
        <v>10</v>
      </c>
      <c r="E373" s="46">
        <v>2200</v>
      </c>
      <c r="F373" s="105">
        <v>0.5</v>
      </c>
      <c r="G373" s="67">
        <f>F373*E373</f>
        <v>1100</v>
      </c>
      <c r="H373" s="19" t="s">
        <v>31</v>
      </c>
      <c r="I373" s="46">
        <f>J410</f>
        <v>3150</v>
      </c>
      <c r="J373" s="57">
        <f>F379</f>
        <v>0.5</v>
      </c>
      <c r="K373" s="57">
        <f>J373*I373</f>
        <v>1575</v>
      </c>
      <c r="L373" s="307"/>
    </row>
    <row r="374" spans="4:12" ht="15.75" thickBot="1">
      <c r="D374" s="19"/>
      <c r="E374" s="46"/>
      <c r="F374" s="19"/>
      <c r="G374" s="67"/>
      <c r="H374" s="19"/>
      <c r="I374" s="239"/>
      <c r="J374" s="111"/>
      <c r="K374" s="111"/>
      <c r="L374" s="28"/>
    </row>
    <row r="375" spans="4:12" ht="15.75" thickTop="1">
      <c r="D375" s="19"/>
      <c r="E375" s="46"/>
      <c r="F375" s="19"/>
      <c r="G375" s="67"/>
      <c r="H375" s="19" t="s">
        <v>189</v>
      </c>
      <c r="I375" s="48">
        <v>3400</v>
      </c>
      <c r="J375" s="77">
        <f>F379</f>
        <v>0.5</v>
      </c>
      <c r="K375" s="84">
        <f>J375*I375</f>
        <v>1700</v>
      </c>
      <c r="L375" s="128"/>
    </row>
    <row r="376" spans="4:12" ht="15">
      <c r="D376" s="19"/>
      <c r="E376" s="46"/>
      <c r="F376" s="19"/>
      <c r="G376" s="67"/>
      <c r="H376" s="19"/>
      <c r="I376" s="46"/>
      <c r="J376" s="19"/>
      <c r="K376" s="19"/>
      <c r="L376" s="28"/>
    </row>
    <row r="377" spans="4:12" ht="15">
      <c r="D377" s="19" t="s">
        <v>23</v>
      </c>
      <c r="E377" s="46">
        <v>17000</v>
      </c>
      <c r="F377" s="94">
        <v>0.5</v>
      </c>
      <c r="G377" s="67">
        <f>F377*E377</f>
        <v>8500</v>
      </c>
      <c r="H377" s="19" t="s">
        <v>34</v>
      </c>
      <c r="I377" s="46">
        <f>E379-I375-I373</f>
        <v>12650</v>
      </c>
      <c r="J377" s="57">
        <f>J375</f>
        <v>0.5</v>
      </c>
      <c r="K377" s="46">
        <f>+J377*I377</f>
        <v>6325</v>
      </c>
      <c r="L377" s="211"/>
    </row>
    <row r="378" spans="4:12" ht="15.75" thickBot="1">
      <c r="D378" s="20"/>
      <c r="E378" s="70"/>
      <c r="F378" s="20"/>
      <c r="G378" s="90"/>
      <c r="H378" s="20"/>
      <c r="I378" s="70"/>
      <c r="J378" s="20"/>
      <c r="K378" s="20"/>
      <c r="L378" s="28"/>
    </row>
    <row r="379" spans="4:12" ht="15.75" thickBot="1">
      <c r="D379" s="106" t="s">
        <v>22</v>
      </c>
      <c r="E379" s="107">
        <f>+E377+E373</f>
        <v>19200</v>
      </c>
      <c r="F379" s="108">
        <f>+G379/E379</f>
        <v>0.5</v>
      </c>
      <c r="G379" s="109">
        <f>+G377+G373</f>
        <v>9600</v>
      </c>
      <c r="H379" s="110" t="s">
        <v>22</v>
      </c>
      <c r="I379" s="107">
        <f>I377+I375</f>
        <v>16050</v>
      </c>
      <c r="J379" s="108">
        <f>F379</f>
        <v>0.5</v>
      </c>
      <c r="K379" s="112">
        <f>SUM(K373:K377)</f>
        <v>9600</v>
      </c>
      <c r="L379" s="306"/>
    </row>
    <row r="380" spans="7:9" ht="15">
      <c r="G380" s="101"/>
      <c r="I380" s="95"/>
    </row>
    <row r="381" spans="7:9" ht="15">
      <c r="G381" s="101"/>
      <c r="I381" s="95"/>
    </row>
    <row r="382" spans="7:9" ht="15">
      <c r="G382" s="101"/>
      <c r="I382" s="95"/>
    </row>
    <row r="383" spans="4:12" ht="18.75">
      <c r="D383" s="197" t="s">
        <v>188</v>
      </c>
      <c r="E383" s="16"/>
      <c r="F383" s="16"/>
      <c r="G383" s="65"/>
      <c r="H383" s="16"/>
      <c r="I383" s="16"/>
      <c r="J383" s="16"/>
      <c r="K383" s="16"/>
      <c r="L383" s="16"/>
    </row>
    <row r="384" spans="4:7" ht="15.75" thickBot="1">
      <c r="D384" s="40"/>
      <c r="E384" s="16"/>
      <c r="F384" s="16"/>
      <c r="G384" s="65"/>
    </row>
    <row r="385" spans="4:12" ht="15.75" thickBot="1">
      <c r="D385" s="41" t="s">
        <v>212</v>
      </c>
      <c r="E385" s="42" t="s">
        <v>14</v>
      </c>
      <c r="F385" s="42" t="s">
        <v>15</v>
      </c>
      <c r="G385" s="170" t="s">
        <v>16</v>
      </c>
      <c r="H385" s="42"/>
      <c r="I385" s="42" t="s">
        <v>14</v>
      </c>
      <c r="J385" s="42" t="s">
        <v>15</v>
      </c>
      <c r="K385" s="43" t="s">
        <v>16</v>
      </c>
      <c r="L385" s="28"/>
    </row>
    <row r="386" spans="4:12" ht="15">
      <c r="D386" s="103"/>
      <c r="E386" s="85"/>
      <c r="F386" s="85"/>
      <c r="G386" s="172"/>
      <c r="H386" s="85"/>
      <c r="I386" s="85"/>
      <c r="J386" s="85"/>
      <c r="K386" s="104"/>
      <c r="L386" s="28"/>
    </row>
    <row r="387" spans="4:12" ht="15">
      <c r="D387" s="19" t="s">
        <v>10</v>
      </c>
      <c r="E387" s="46">
        <v>1120</v>
      </c>
      <c r="F387" s="105">
        <v>5.7</v>
      </c>
      <c r="G387" s="67">
        <f>F387*E387</f>
        <v>6384</v>
      </c>
      <c r="H387" s="19" t="s">
        <v>31</v>
      </c>
      <c r="I387" s="19">
        <v>300</v>
      </c>
      <c r="J387" s="57">
        <v>5.13</v>
      </c>
      <c r="K387" s="57">
        <f>J387*I387</f>
        <v>1539</v>
      </c>
      <c r="L387" s="307"/>
    </row>
    <row r="388" spans="4:12" ht="15.75" thickBot="1">
      <c r="D388" s="19"/>
      <c r="E388" s="46"/>
      <c r="F388" s="19"/>
      <c r="G388" s="67"/>
      <c r="H388" s="19"/>
      <c r="I388" s="111"/>
      <c r="J388" s="111"/>
      <c r="K388" s="111"/>
      <c r="L388" s="28"/>
    </row>
    <row r="389" spans="4:12" ht="15.75" thickTop="1">
      <c r="D389" s="19"/>
      <c r="E389" s="46"/>
      <c r="F389" s="19"/>
      <c r="G389" s="67"/>
      <c r="H389" s="19" t="s">
        <v>204</v>
      </c>
      <c r="I389" s="48">
        <f>E393</f>
        <v>6120</v>
      </c>
      <c r="J389" s="209">
        <f>-(J387-F393)</f>
        <v>-0.0018954248366007675</v>
      </c>
      <c r="K389" s="84">
        <f>J389*I389</f>
        <v>-11.599999999996697</v>
      </c>
      <c r="L389" s="128"/>
    </row>
    <row r="390" spans="4:12" ht="15">
      <c r="D390" s="19"/>
      <c r="E390" s="46"/>
      <c r="F390" s="19"/>
      <c r="G390" s="67"/>
      <c r="H390" s="19"/>
      <c r="I390" s="19"/>
      <c r="J390" s="19"/>
      <c r="K390" s="19"/>
      <c r="L390" s="28"/>
    </row>
    <row r="391" spans="4:12" ht="15">
      <c r="D391" s="19" t="s">
        <v>23</v>
      </c>
      <c r="E391" s="46">
        <v>5000</v>
      </c>
      <c r="F391" s="94">
        <v>5</v>
      </c>
      <c r="G391" s="67">
        <f>+F391*E391</f>
        <v>25000</v>
      </c>
      <c r="H391" s="19" t="s">
        <v>34</v>
      </c>
      <c r="I391" s="46">
        <f>+E393-I387</f>
        <v>5820</v>
      </c>
      <c r="J391" s="57">
        <f>+J387</f>
        <v>5.13</v>
      </c>
      <c r="K391" s="46">
        <f>+J391*I391</f>
        <v>29856.6</v>
      </c>
      <c r="L391" s="211"/>
    </row>
    <row r="392" spans="4:12" ht="15.75" thickBot="1">
      <c r="D392" s="20"/>
      <c r="E392" s="70"/>
      <c r="F392" s="20"/>
      <c r="G392" s="90"/>
      <c r="H392" s="20"/>
      <c r="I392" s="20"/>
      <c r="J392" s="20"/>
      <c r="K392" s="20"/>
      <c r="L392" s="28"/>
    </row>
    <row r="393" spans="4:12" ht="15.75" thickBot="1">
      <c r="D393" s="106" t="s">
        <v>22</v>
      </c>
      <c r="E393" s="107">
        <f>+E391+E387</f>
        <v>6120</v>
      </c>
      <c r="F393" s="207">
        <f>+G393/E393</f>
        <v>5.128104575163399</v>
      </c>
      <c r="G393" s="109">
        <f>+G391+G387</f>
        <v>31384</v>
      </c>
      <c r="H393" s="110" t="s">
        <v>22</v>
      </c>
      <c r="I393" s="107">
        <f>I391+I387</f>
        <v>6120</v>
      </c>
      <c r="J393" s="207">
        <f>F393</f>
        <v>5.128104575163399</v>
      </c>
      <c r="K393" s="112">
        <f>K391+K389+K387</f>
        <v>31384.000000000004</v>
      </c>
      <c r="L393" s="306"/>
    </row>
    <row r="394" ht="15">
      <c r="G394" s="101"/>
    </row>
    <row r="395" ht="15">
      <c r="G395" s="101"/>
    </row>
    <row r="396" ht="15">
      <c r="G396" s="101"/>
    </row>
    <row r="397" spans="7:11" ht="15">
      <c r="G397" s="101"/>
      <c r="H397" s="19">
        <v>105</v>
      </c>
      <c r="I397" s="19">
        <v>300</v>
      </c>
      <c r="K397">
        <f>+(H397*I398)/I397</f>
        <v>3150</v>
      </c>
    </row>
    <row r="398" spans="7:9" ht="15">
      <c r="G398" s="101"/>
      <c r="H398" s="46" t="s">
        <v>58</v>
      </c>
      <c r="I398" s="19">
        <v>9000</v>
      </c>
    </row>
    <row r="399" spans="7:8" ht="15.75" thickBot="1">
      <c r="G399" s="101"/>
      <c r="H399" s="95"/>
    </row>
    <row r="400" spans="4:8" ht="19.5" thickBot="1">
      <c r="D400" s="204" t="s">
        <v>185</v>
      </c>
      <c r="E400" s="205">
        <v>9000</v>
      </c>
      <c r="F400" s="206" t="s">
        <v>186</v>
      </c>
      <c r="G400" s="101"/>
      <c r="H400" s="95"/>
    </row>
    <row r="401" spans="5:8" ht="15">
      <c r="E401" s="95"/>
      <c r="F401" s="95"/>
      <c r="G401" s="101"/>
      <c r="H401" s="95"/>
    </row>
    <row r="402" spans="5:8" ht="15">
      <c r="E402" s="95" t="s">
        <v>184</v>
      </c>
      <c r="F402" s="95"/>
      <c r="G402" s="101"/>
      <c r="H402" s="95"/>
    </row>
    <row r="403" spans="5:8" ht="15">
      <c r="E403" s="95"/>
      <c r="F403" s="95"/>
      <c r="G403" s="101"/>
      <c r="H403" s="95"/>
    </row>
    <row r="404" spans="4:13" ht="18.75">
      <c r="D404" s="198" t="s">
        <v>120</v>
      </c>
      <c r="E404" s="95"/>
      <c r="F404" s="95"/>
      <c r="G404" s="101"/>
      <c r="H404" s="95"/>
      <c r="I404" s="198" t="s">
        <v>220</v>
      </c>
      <c r="J404" s="95"/>
      <c r="K404" s="95"/>
      <c r="L404" s="95"/>
      <c r="M404" s="101"/>
    </row>
    <row r="405" spans="5:13" ht="15">
      <c r="E405" s="95"/>
      <c r="F405" s="95"/>
      <c r="G405" s="101"/>
      <c r="H405" s="95"/>
      <c r="J405" s="95"/>
      <c r="K405" s="95"/>
      <c r="L405" s="95"/>
      <c r="M405" s="101"/>
    </row>
    <row r="406" spans="5:13" ht="15.75" thickBot="1">
      <c r="E406" s="95"/>
      <c r="F406" s="95"/>
      <c r="G406" s="101"/>
      <c r="H406" s="95"/>
      <c r="J406" s="95"/>
      <c r="K406" s="95"/>
      <c r="L406" s="95"/>
      <c r="M406" s="101"/>
    </row>
    <row r="407" spans="4:13" ht="15.75" thickBot="1">
      <c r="D407" s="16"/>
      <c r="E407" s="54" t="s">
        <v>14</v>
      </c>
      <c r="F407" s="54" t="s">
        <v>15</v>
      </c>
      <c r="G407" s="171" t="s">
        <v>16</v>
      </c>
      <c r="H407" s="95"/>
      <c r="I407" s="16"/>
      <c r="J407" s="54" t="s">
        <v>14</v>
      </c>
      <c r="K407" s="54" t="s">
        <v>15</v>
      </c>
      <c r="L407" s="54"/>
      <c r="M407" s="171" t="s">
        <v>16</v>
      </c>
    </row>
    <row r="408" spans="4:13" ht="15.75" thickBot="1">
      <c r="D408" s="41" t="s">
        <v>118</v>
      </c>
      <c r="E408" s="42">
        <f>I363</f>
        <v>52200</v>
      </c>
      <c r="F408" s="96" t="s">
        <v>121</v>
      </c>
      <c r="G408" s="89"/>
      <c r="H408" s="95"/>
      <c r="I408" s="41" t="s">
        <v>118</v>
      </c>
      <c r="J408" s="167">
        <v>9000</v>
      </c>
      <c r="K408" s="79">
        <f>+J363</f>
        <v>28.656631881107746</v>
      </c>
      <c r="L408" s="308"/>
      <c r="M408" s="89">
        <f>+K408*J408</f>
        <v>257909.6869299697</v>
      </c>
    </row>
    <row r="409" spans="4:13" ht="15">
      <c r="D409" s="21"/>
      <c r="E409" s="21"/>
      <c r="F409" s="21"/>
      <c r="G409" s="84"/>
      <c r="H409" s="95"/>
      <c r="I409" s="21"/>
      <c r="J409" s="48"/>
      <c r="K409" s="21"/>
      <c r="L409" s="21"/>
      <c r="M409" s="84"/>
    </row>
    <row r="410" spans="4:13" ht="15">
      <c r="D410" s="19" t="s">
        <v>24</v>
      </c>
      <c r="E410" s="19"/>
      <c r="F410" s="97"/>
      <c r="G410" s="67"/>
      <c r="H410" s="95"/>
      <c r="I410" s="19" t="s">
        <v>190</v>
      </c>
      <c r="J410" s="46">
        <f>K397</f>
        <v>3150</v>
      </c>
      <c r="K410" s="97">
        <v>0.5</v>
      </c>
      <c r="L410" s="97"/>
      <c r="M410" s="67">
        <f>K410*J410</f>
        <v>1575</v>
      </c>
    </row>
    <row r="411" spans="4:13" ht="15">
      <c r="D411" s="19" t="s">
        <v>119</v>
      </c>
      <c r="E411" s="19"/>
      <c r="F411" s="57"/>
      <c r="G411" s="84"/>
      <c r="I411" s="19" t="s">
        <v>191</v>
      </c>
      <c r="J411" s="46">
        <v>300</v>
      </c>
      <c r="K411" s="57">
        <v>5.13</v>
      </c>
      <c r="L411" s="77"/>
      <c r="M411" s="84">
        <f>+K411*J411</f>
        <v>1539</v>
      </c>
    </row>
    <row r="412" spans="4:13" ht="15">
      <c r="D412" s="19"/>
      <c r="E412" s="19"/>
      <c r="F412" s="57"/>
      <c r="G412" s="84"/>
      <c r="I412" s="19" t="s">
        <v>197</v>
      </c>
      <c r="J412" s="235"/>
      <c r="K412" s="208"/>
      <c r="L412" s="309"/>
      <c r="M412" s="177"/>
    </row>
    <row r="413" spans="4:13" ht="15">
      <c r="D413" s="19" t="s">
        <v>26</v>
      </c>
      <c r="E413" s="19"/>
      <c r="F413" s="19"/>
      <c r="G413" s="84"/>
      <c r="I413" s="19" t="s">
        <v>26</v>
      </c>
      <c r="J413" s="46">
        <f>K422</f>
        <v>447000</v>
      </c>
      <c r="K413" s="144">
        <f>O43</f>
        <v>0.0162</v>
      </c>
      <c r="L413" s="201"/>
      <c r="M413" s="84">
        <f>K413*J413</f>
        <v>7241.4</v>
      </c>
    </row>
    <row r="414" spans="4:13" ht="15">
      <c r="D414" s="55"/>
      <c r="E414" s="19"/>
      <c r="F414" s="19"/>
      <c r="G414" s="84"/>
      <c r="I414" s="55"/>
      <c r="J414" s="46"/>
      <c r="K414" s="19"/>
      <c r="L414" s="21"/>
      <c r="M414" s="84"/>
    </row>
    <row r="415" spans="4:13" ht="15">
      <c r="D415" s="19"/>
      <c r="E415" s="19"/>
      <c r="F415" s="19"/>
      <c r="G415" s="67"/>
      <c r="I415" s="19"/>
      <c r="J415" s="46"/>
      <c r="K415" s="19"/>
      <c r="L415" s="19"/>
      <c r="M415" s="67"/>
    </row>
    <row r="416" spans="4:13" ht="15.75" thickBot="1">
      <c r="D416" s="16"/>
      <c r="E416" s="16"/>
      <c r="F416" s="16"/>
      <c r="G416" s="65"/>
      <c r="I416" s="16"/>
      <c r="J416" s="168"/>
      <c r="K416" s="16"/>
      <c r="L416" s="16"/>
      <c r="M416" s="65"/>
    </row>
    <row r="417" spans="4:13" ht="15.75" thickBot="1">
      <c r="D417" s="41" t="s">
        <v>120</v>
      </c>
      <c r="E417" s="42"/>
      <c r="F417" s="78"/>
      <c r="G417" s="89">
        <v>268292</v>
      </c>
      <c r="I417" s="241" t="s">
        <v>221</v>
      </c>
      <c r="J417" s="236">
        <v>300</v>
      </c>
      <c r="K417" s="237">
        <f>+M417/J417</f>
        <v>894.3066666666666</v>
      </c>
      <c r="L417" s="310"/>
      <c r="M417" s="240">
        <v>268292</v>
      </c>
    </row>
    <row r="418" spans="7:13" ht="15">
      <c r="G418" s="101"/>
      <c r="J418" s="238" t="s">
        <v>217</v>
      </c>
      <c r="K418" s="75" t="s">
        <v>216</v>
      </c>
      <c r="L418" s="299"/>
      <c r="M418" s="1"/>
    </row>
    <row r="419" spans="7:13" ht="15">
      <c r="G419" s="101"/>
      <c r="M419" s="21" t="s">
        <v>218</v>
      </c>
    </row>
    <row r="420" ht="15">
      <c r="G420" s="101"/>
    </row>
    <row r="421" spans="7:12" ht="15">
      <c r="G421" s="101"/>
      <c r="K421" s="1">
        <v>1490</v>
      </c>
      <c r="L421" s="6"/>
    </row>
    <row r="422" spans="11:12" ht="15">
      <c r="K422" s="2">
        <f>+K421*J411</f>
        <v>447000</v>
      </c>
      <c r="L422" s="6"/>
    </row>
    <row r="423" ht="15">
      <c r="I423" s="113"/>
    </row>
    <row r="426" ht="15.75" thickBot="1"/>
    <row r="427" spans="9:10" ht="15.75" thickBot="1">
      <c r="I427" s="250" t="s">
        <v>224</v>
      </c>
      <c r="J427" s="47"/>
    </row>
    <row r="428" spans="9:10" ht="15">
      <c r="I428" s="252"/>
      <c r="J428" s="103"/>
    </row>
    <row r="429" spans="7:10" ht="15">
      <c r="G429" s="101"/>
      <c r="I429" s="104" t="s">
        <v>198</v>
      </c>
      <c r="J429" s="242">
        <f>J413</f>
        <v>447000</v>
      </c>
    </row>
    <row r="430" spans="7:10" ht="15">
      <c r="G430" s="101"/>
      <c r="I430" s="104"/>
      <c r="J430" s="103"/>
    </row>
    <row r="431" spans="7:10" ht="15.75" thickBot="1">
      <c r="G431" s="101"/>
      <c r="I431" s="104" t="s">
        <v>165</v>
      </c>
      <c r="J431" s="230">
        <f>M417</f>
        <v>268292</v>
      </c>
    </row>
    <row r="432" spans="7:10" ht="15.75" thickTop="1">
      <c r="G432" s="101"/>
      <c r="I432" s="104"/>
      <c r="J432" s="103"/>
    </row>
    <row r="433" spans="7:12" ht="15">
      <c r="G433" s="101"/>
      <c r="I433" s="231" t="s">
        <v>199</v>
      </c>
      <c r="J433" s="232">
        <f>J429-J431</f>
        <v>178708</v>
      </c>
      <c r="K433" s="251">
        <f>+J433/J429</f>
        <v>0.39979418344519013</v>
      </c>
      <c r="L433" s="311"/>
    </row>
    <row r="434" spans="7:10" ht="15">
      <c r="G434" s="101"/>
      <c r="I434" s="104"/>
      <c r="J434" s="103"/>
    </row>
    <row r="435" spans="9:10" ht="15.75" thickBot="1">
      <c r="I435" s="234" t="s">
        <v>200</v>
      </c>
      <c r="J435" s="242">
        <f>G439</f>
        <v>-4470</v>
      </c>
    </row>
    <row r="436" spans="4:10" ht="15.75" thickBot="1">
      <c r="D436" s="19" t="s">
        <v>219</v>
      </c>
      <c r="E436" s="54" t="s">
        <v>223</v>
      </c>
      <c r="F436" s="54" t="s">
        <v>15</v>
      </c>
      <c r="G436" s="54" t="s">
        <v>16</v>
      </c>
      <c r="I436" s="234"/>
      <c r="J436" s="103"/>
    </row>
    <row r="437" spans="4:10" ht="15.75" thickBot="1">
      <c r="D437" s="28"/>
      <c r="E437" s="23"/>
      <c r="F437" s="23"/>
      <c r="G437" s="23"/>
      <c r="I437" s="234"/>
      <c r="J437" s="103"/>
    </row>
    <row r="438" spans="4:10" ht="15">
      <c r="D438" s="22" t="s">
        <v>222</v>
      </c>
      <c r="E438" s="23">
        <v>300</v>
      </c>
      <c r="F438" s="247">
        <v>1490</v>
      </c>
      <c r="G438" s="243">
        <f>+F438*E438</f>
        <v>447000</v>
      </c>
      <c r="I438" s="234" t="s">
        <v>201</v>
      </c>
      <c r="J438" s="103"/>
    </row>
    <row r="439" spans="4:10" ht="15.75" thickBot="1">
      <c r="D439" s="27" t="s">
        <v>192</v>
      </c>
      <c r="E439" s="28">
        <v>300</v>
      </c>
      <c r="F439" s="211">
        <f>F438*0.01</f>
        <v>14.9</v>
      </c>
      <c r="G439" s="244">
        <f>-G438*0.01</f>
        <v>-4470</v>
      </c>
      <c r="H439" s="95"/>
      <c r="I439" s="234" t="s">
        <v>202</v>
      </c>
      <c r="J439" s="230">
        <f>E444*10</f>
        <v>60</v>
      </c>
    </row>
    <row r="440" spans="4:10" ht="15.75" thickTop="1">
      <c r="D440" s="27"/>
      <c r="E440" s="28"/>
      <c r="F440" s="211"/>
      <c r="G440" s="245"/>
      <c r="H440" s="95"/>
      <c r="I440" s="234"/>
      <c r="J440" s="242"/>
    </row>
    <row r="441" spans="4:10" ht="15">
      <c r="D441" s="27" t="s">
        <v>196</v>
      </c>
      <c r="E441" s="28">
        <f>E439</f>
        <v>300</v>
      </c>
      <c r="F441" s="211">
        <f>+F438-F439</f>
        <v>1475.1</v>
      </c>
      <c r="G441" s="245">
        <f>G438+G439</f>
        <v>442530</v>
      </c>
      <c r="H441" s="95"/>
      <c r="I441" s="104"/>
      <c r="J441" s="103"/>
    </row>
    <row r="442" spans="4:10" ht="15">
      <c r="D442" s="27"/>
      <c r="E442" s="28"/>
      <c r="F442" s="28"/>
      <c r="G442" s="245"/>
      <c r="I442" s="104"/>
      <c r="J442" s="103"/>
    </row>
    <row r="443" spans="4:12" ht="15">
      <c r="D443" s="27" t="s">
        <v>193</v>
      </c>
      <c r="E443" s="248">
        <v>0.196</v>
      </c>
      <c r="F443" s="249">
        <f>+G441</f>
        <v>442530</v>
      </c>
      <c r="G443" s="245">
        <f>G441*0.196</f>
        <v>86735.88</v>
      </c>
      <c r="I443" s="231" t="s">
        <v>203</v>
      </c>
      <c r="J443" s="233">
        <f>J433+J435+J439</f>
        <v>174298</v>
      </c>
      <c r="K443" s="251">
        <f>+J443/J429</f>
        <v>0.3899284116331096</v>
      </c>
      <c r="L443" s="311"/>
    </row>
    <row r="444" spans="4:10" ht="15.75" thickBot="1">
      <c r="D444" s="27" t="s">
        <v>195</v>
      </c>
      <c r="E444" s="28">
        <v>6</v>
      </c>
      <c r="F444" s="28">
        <v>45</v>
      </c>
      <c r="G444" s="244">
        <f>F444*E444</f>
        <v>270</v>
      </c>
      <c r="I444" s="119"/>
      <c r="J444" s="228"/>
    </row>
    <row r="445" spans="4:7" ht="15.75" thickTop="1">
      <c r="D445" s="27"/>
      <c r="E445" s="28"/>
      <c r="F445" s="28"/>
      <c r="G445" s="245">
        <f>+G441+G443+G444</f>
        <v>529535.88</v>
      </c>
    </row>
    <row r="446" spans="4:7" ht="15.75" thickBot="1">
      <c r="D446" s="29"/>
      <c r="E446" s="30"/>
      <c r="F446" s="30"/>
      <c r="G446" s="246"/>
    </row>
    <row r="447" spans="4:7" ht="15">
      <c r="D447" s="16"/>
      <c r="E447" s="16"/>
      <c r="F447" s="16"/>
      <c r="G447" s="16"/>
    </row>
    <row r="448" spans="4:7" ht="15">
      <c r="D448" s="16"/>
      <c r="E448" s="16"/>
      <c r="F448" s="16"/>
      <c r="G448" s="16"/>
    </row>
  </sheetData>
  <sheetProtection/>
  <hyperlinks>
    <hyperlink ref="D3" r:id="rId1" display="jscilien@u-paris10.fr"/>
    <hyperlink ref="G2" r:id="rId2" display="jscilien@u-paris10.fr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C15:J30"/>
  <sheetViews>
    <sheetView zoomScalePageLayoutView="0" workbookViewId="0" topLeftCell="A25">
      <selection activeCell="C15" sqref="C15:J30"/>
    </sheetView>
  </sheetViews>
  <sheetFormatPr defaultColWidth="11.421875" defaultRowHeight="15"/>
  <sheetData>
    <row r="15" spans="3:10" ht="15">
      <c r="C15" s="40" t="s">
        <v>93</v>
      </c>
      <c r="D15" s="16"/>
      <c r="E15" s="16"/>
      <c r="F15" s="16"/>
      <c r="G15" s="16"/>
      <c r="H15" s="16"/>
      <c r="I15" s="16"/>
      <c r="J15" s="16"/>
    </row>
    <row r="16" spans="3:6" ht="15.75" thickBot="1">
      <c r="C16" s="40"/>
      <c r="D16" s="16"/>
      <c r="E16" s="16"/>
      <c r="F16" s="16"/>
    </row>
    <row r="17" spans="3:10" ht="15.75" thickBot="1">
      <c r="C17" s="41"/>
      <c r="D17" s="42" t="s">
        <v>14</v>
      </c>
      <c r="E17" s="42" t="s">
        <v>15</v>
      </c>
      <c r="F17" s="42" t="s">
        <v>16</v>
      </c>
      <c r="G17" s="42"/>
      <c r="H17" s="42" t="s">
        <v>14</v>
      </c>
      <c r="I17" s="42" t="s">
        <v>15</v>
      </c>
      <c r="J17" s="43" t="s">
        <v>16</v>
      </c>
    </row>
    <row r="18" spans="3:10" ht="15">
      <c r="C18" s="21" t="s">
        <v>10</v>
      </c>
      <c r="D18" s="21"/>
      <c r="E18" s="21"/>
      <c r="F18" s="21"/>
      <c r="G18" s="21" t="s">
        <v>31</v>
      </c>
      <c r="H18" s="21"/>
      <c r="I18" s="21">
        <v>37</v>
      </c>
      <c r="J18" s="21"/>
    </row>
    <row r="19" spans="3:10" ht="15">
      <c r="C19" s="19"/>
      <c r="D19" s="19"/>
      <c r="E19" s="19"/>
      <c r="F19" s="19"/>
      <c r="G19" s="19"/>
      <c r="H19" s="19"/>
      <c r="I19" s="19"/>
      <c r="J19" s="19"/>
    </row>
    <row r="20" spans="3:10" ht="15">
      <c r="C20" s="19"/>
      <c r="D20" s="19"/>
      <c r="E20" s="19"/>
      <c r="F20" s="19"/>
      <c r="G20" s="19"/>
      <c r="H20" s="19"/>
      <c r="I20" s="19"/>
      <c r="J20" s="19"/>
    </row>
    <row r="21" spans="3:10" ht="15">
      <c r="C21" s="19"/>
      <c r="D21" s="19"/>
      <c r="E21" s="19"/>
      <c r="F21" s="19"/>
      <c r="G21" s="19"/>
      <c r="H21" s="19"/>
      <c r="I21" s="19"/>
      <c r="J21" s="19"/>
    </row>
    <row r="22" spans="3:10" ht="15">
      <c r="C22" s="19"/>
      <c r="D22" s="19"/>
      <c r="E22" s="19"/>
      <c r="F22" s="19"/>
      <c r="G22" s="19"/>
      <c r="H22" s="19"/>
      <c r="I22" s="19"/>
      <c r="J22" s="19"/>
    </row>
    <row r="23" spans="3:10" ht="15">
      <c r="C23" s="19" t="s">
        <v>23</v>
      </c>
      <c r="D23" s="19"/>
      <c r="E23" s="19"/>
      <c r="F23" s="19"/>
      <c r="G23" s="19" t="s">
        <v>34</v>
      </c>
      <c r="H23" s="19"/>
      <c r="I23" s="19"/>
      <c r="J23" s="19"/>
    </row>
    <row r="24" spans="3:10" ht="15.75" thickBot="1">
      <c r="C24" s="20"/>
      <c r="D24" s="20"/>
      <c r="E24" s="20"/>
      <c r="F24" s="20"/>
      <c r="G24" s="20"/>
      <c r="H24" s="20"/>
      <c r="I24" s="20"/>
      <c r="J24" s="20"/>
    </row>
    <row r="25" spans="3:10" ht="15.75" thickBot="1">
      <c r="C25" s="41" t="s">
        <v>22</v>
      </c>
      <c r="D25" s="42"/>
      <c r="E25" s="42"/>
      <c r="F25" s="42"/>
      <c r="G25" s="42" t="s">
        <v>22</v>
      </c>
      <c r="H25" s="42"/>
      <c r="I25" s="42"/>
      <c r="J25" s="43"/>
    </row>
    <row r="26" spans="3:10" ht="15">
      <c r="C26" s="40"/>
      <c r="D26" s="40"/>
      <c r="E26" s="16"/>
      <c r="F26" s="16"/>
      <c r="G26" s="16"/>
      <c r="H26" s="16"/>
      <c r="I26" s="16"/>
      <c r="J26" s="16"/>
    </row>
    <row r="27" spans="3:6" ht="15">
      <c r="C27" s="40"/>
      <c r="D27" s="40"/>
      <c r="E27" s="16"/>
      <c r="F27" s="16"/>
    </row>
    <row r="28" spans="7:10" ht="15">
      <c r="G28" s="16"/>
      <c r="H28" s="16"/>
      <c r="I28" s="16"/>
      <c r="J28" s="16"/>
    </row>
    <row r="29" spans="3:10" ht="15">
      <c r="C29" s="40"/>
      <c r="D29" s="40"/>
      <c r="E29" s="16"/>
      <c r="F29" s="16"/>
      <c r="G29" s="16"/>
      <c r="H29" s="16"/>
      <c r="I29" s="16"/>
      <c r="J29" s="16"/>
    </row>
    <row r="30" spans="3:10" ht="15">
      <c r="C30" s="40"/>
      <c r="D30" s="40"/>
      <c r="E30" s="16"/>
      <c r="F30" s="16"/>
      <c r="G30" s="16"/>
      <c r="H30" s="16"/>
      <c r="I30" s="16"/>
      <c r="J30" s="16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SCILIEN</dc:creator>
  <cp:keywords/>
  <dc:description/>
  <cp:lastModifiedBy>scilien</cp:lastModifiedBy>
  <dcterms:created xsi:type="dcterms:W3CDTF">2013-02-07T16:01:31Z</dcterms:created>
  <dcterms:modified xsi:type="dcterms:W3CDTF">2015-03-03T10:57:49Z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