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8550" windowHeight="6705"/>
  </bookViews>
  <sheets>
    <sheet name="AGRO" sheetId="1" r:id="rId1"/>
    <sheet name="SANTAL" sheetId="2" r:id="rId2"/>
    <sheet name="Feuil3" sheetId="3" r:id="rId3"/>
    <sheet name="Feuil1" sheetId="4" r:id="rId4"/>
  </sheets>
  <calcPr calcId="145621"/>
</workbook>
</file>

<file path=xl/calcChain.xml><?xml version="1.0" encoding="utf-8"?>
<calcChain xmlns="http://schemas.openxmlformats.org/spreadsheetml/2006/main">
  <c r="G16" i="2" l="1"/>
  <c r="G17" i="2"/>
  <c r="E18" i="2"/>
  <c r="F18" i="2"/>
  <c r="G20" i="2"/>
  <c r="E21" i="2" s="1"/>
  <c r="E22" i="2"/>
  <c r="F22" i="2"/>
  <c r="F24" i="2" s="1"/>
  <c r="E24" i="2"/>
  <c r="E27" i="2"/>
  <c r="F27" i="2"/>
  <c r="G27" i="2"/>
  <c r="F21" i="2" l="1"/>
  <c r="G22" i="2"/>
  <c r="G24" i="2" s="1"/>
  <c r="E55" i="2"/>
  <c r="F51" i="2"/>
  <c r="E29" i="2"/>
  <c r="F29" i="2"/>
  <c r="G29" i="2" s="1"/>
  <c r="G30" i="2" s="1"/>
  <c r="X5" i="2" l="1"/>
  <c r="Y5" i="2"/>
  <c r="W5" i="2"/>
  <c r="X4" i="2"/>
  <c r="Y4" i="2"/>
  <c r="W4" i="2"/>
  <c r="X3" i="2"/>
  <c r="Y3" i="2"/>
  <c r="W3" i="2"/>
  <c r="Y6" i="2"/>
  <c r="X6" i="2"/>
  <c r="W6" i="2"/>
  <c r="Y51" i="2"/>
  <c r="Y52" i="2"/>
  <c r="Y49" i="2"/>
  <c r="AB46" i="2"/>
  <c r="AA46" i="2"/>
  <c r="AA44" i="2"/>
  <c r="AB42" i="2"/>
  <c r="Y42" i="2"/>
  <c r="AA42" i="2" s="1"/>
  <c r="Z42" i="2"/>
  <c r="X42" i="2"/>
  <c r="AA39" i="2"/>
  <c r="AA40" i="2"/>
  <c r="AA41" i="2"/>
  <c r="Y40" i="2"/>
  <c r="Z40" i="2"/>
  <c r="X40" i="2"/>
  <c r="AA38" i="2"/>
  <c r="X38" i="2"/>
  <c r="Y38" i="2"/>
  <c r="Z38" i="2"/>
  <c r="X34" i="2"/>
  <c r="Z34" i="2"/>
  <c r="Y34" i="2"/>
  <c r="Y33" i="2"/>
  <c r="Z33" i="2"/>
  <c r="X33" i="2"/>
  <c r="Y31" i="2"/>
  <c r="Z31" i="2"/>
  <c r="X31" i="2"/>
  <c r="Y29" i="2"/>
  <c r="Z29" i="2"/>
  <c r="X29" i="2"/>
  <c r="Z27" i="2"/>
  <c r="Y27" i="2"/>
  <c r="X27" i="2"/>
  <c r="Z26" i="2"/>
  <c r="Y24" i="2"/>
  <c r="Z24" i="2"/>
  <c r="X24" i="2"/>
  <c r="Z22" i="2"/>
  <c r="Y22" i="2"/>
  <c r="X22" i="2"/>
  <c r="Y20" i="2"/>
  <c r="AB17" i="2"/>
  <c r="X18" i="2" s="1"/>
  <c r="Y12" i="2"/>
  <c r="Z12" i="2"/>
  <c r="X12" i="2"/>
  <c r="Y18" i="2" l="1"/>
  <c r="Z18" i="2"/>
  <c r="Z20" i="2" s="1"/>
  <c r="E85" i="2" l="1"/>
  <c r="E38" i="2"/>
  <c r="F38" i="2"/>
  <c r="G38" i="2"/>
  <c r="E40" i="2"/>
  <c r="F40" i="2"/>
  <c r="G40" i="2"/>
  <c r="G42" i="2" s="1"/>
  <c r="G43" i="2" s="1"/>
  <c r="J27" i="2"/>
  <c r="F42" i="2" l="1"/>
  <c r="F43" i="2" s="1"/>
  <c r="E42" i="2"/>
  <c r="E43" i="2" s="1"/>
  <c r="G46" i="2"/>
  <c r="H46" i="2" s="1"/>
  <c r="H42" i="2"/>
  <c r="F49" i="2" s="1"/>
  <c r="G28" i="3" l="1"/>
  <c r="F28" i="3"/>
  <c r="H26" i="3"/>
  <c r="K17" i="3"/>
  <c r="M11" i="3"/>
  <c r="K14" i="3"/>
  <c r="K11" i="3"/>
  <c r="N67" i="1" l="1"/>
  <c r="O58" i="1"/>
  <c r="N57" i="1"/>
  <c r="K57" i="1"/>
  <c r="K71" i="1"/>
  <c r="K68" i="1"/>
  <c r="K66" i="1"/>
  <c r="I66" i="1"/>
  <c r="I64" i="1"/>
  <c r="F69" i="1"/>
  <c r="W243" i="2" l="1"/>
  <c r="W134" i="2"/>
  <c r="G145" i="2"/>
  <c r="D86" i="2" l="1"/>
  <c r="I51" i="2"/>
  <c r="E87" i="2"/>
  <c r="E89" i="2"/>
  <c r="G68" i="2"/>
  <c r="C61" i="2"/>
  <c r="E58" i="2"/>
  <c r="F56" i="2"/>
  <c r="F58" i="2" s="1"/>
  <c r="E56" i="2"/>
  <c r="D56" i="2"/>
  <c r="E61" i="2" l="1"/>
  <c r="F35" i="1"/>
  <c r="F38" i="1" s="1"/>
  <c r="B22" i="2"/>
  <c r="F12" i="2"/>
  <c r="F31" i="2" s="1"/>
  <c r="E12" i="2"/>
  <c r="H41" i="1"/>
  <c r="E45" i="1"/>
  <c r="H42" i="1"/>
  <c r="H44" i="1" s="1"/>
  <c r="H43" i="1"/>
  <c r="G43" i="1"/>
  <c r="G42" i="1"/>
  <c r="G44" i="1" s="1"/>
  <c r="B44" i="1"/>
  <c r="A44" i="1"/>
  <c r="B42" i="1"/>
  <c r="B43" i="1"/>
  <c r="A42" i="1"/>
  <c r="A43" i="1"/>
  <c r="J44" i="1"/>
  <c r="I44" i="1"/>
  <c r="J43" i="1"/>
  <c r="I43" i="1"/>
  <c r="J42" i="1"/>
  <c r="I42" i="1"/>
  <c r="F50" i="1"/>
  <c r="E50" i="1"/>
  <c r="F49" i="1"/>
  <c r="E49" i="1"/>
  <c r="F48" i="1"/>
  <c r="E48" i="1"/>
  <c r="D44" i="1"/>
  <c r="E43" i="1"/>
  <c r="E42" i="1"/>
  <c r="E44" i="1" s="1"/>
  <c r="D43" i="1"/>
  <c r="D42" i="1"/>
  <c r="D35" i="1"/>
  <c r="E25" i="1"/>
  <c r="F25" i="1"/>
  <c r="E26" i="1"/>
  <c r="F26" i="1"/>
  <c r="D26" i="1"/>
  <c r="D25" i="1"/>
  <c r="E21" i="1"/>
  <c r="F21" i="1"/>
  <c r="D21" i="1"/>
  <c r="E18" i="1"/>
  <c r="F18" i="1"/>
  <c r="D18" i="1"/>
  <c r="E16" i="1"/>
  <c r="F16" i="1"/>
  <c r="D16" i="1"/>
  <c r="E12" i="1"/>
  <c r="F12" i="1"/>
  <c r="D12" i="1"/>
  <c r="E10" i="1"/>
  <c r="F10" i="1"/>
  <c r="D10" i="1"/>
  <c r="E31" i="2" l="1"/>
  <c r="E77" i="2"/>
  <c r="E79" i="2" s="1"/>
  <c r="E81" i="2" s="1"/>
  <c r="D61" i="2"/>
  <c r="G64" i="2" s="1"/>
  <c r="G31" i="2"/>
  <c r="F30" i="2"/>
  <c r="H45" i="1"/>
  <c r="E33" i="2" l="1"/>
  <c r="E30" i="2"/>
  <c r="G33" i="2"/>
  <c r="G34" i="2" s="1"/>
  <c r="F33" i="2"/>
  <c r="F34" i="2" s="1"/>
  <c r="D58" i="2" s="1"/>
  <c r="G61" i="2" s="1"/>
  <c r="C64" i="2" s="1"/>
  <c r="G67" i="2" s="1"/>
  <c r="E34" i="2" l="1"/>
  <c r="C33" i="2" s="1"/>
  <c r="X20" i="2"/>
</calcChain>
</file>

<file path=xl/sharedStrings.xml><?xml version="1.0" encoding="utf-8"?>
<sst xmlns="http://schemas.openxmlformats.org/spreadsheetml/2006/main" count="368" uniqueCount="220">
  <si>
    <t>T1</t>
  </si>
  <si>
    <t>T2</t>
  </si>
  <si>
    <t>T3</t>
  </si>
  <si>
    <t>résultat</t>
  </si>
  <si>
    <t>CF</t>
  </si>
  <si>
    <t xml:space="preserve">en ke </t>
  </si>
  <si>
    <t>MCV/U</t>
  </si>
  <si>
    <t>ku</t>
  </si>
  <si>
    <t>QTES 2</t>
  </si>
  <si>
    <t>QTES 1</t>
  </si>
  <si>
    <t>MCV 1</t>
  </si>
  <si>
    <t xml:space="preserve">MCV2 </t>
  </si>
  <si>
    <t>RES 2</t>
  </si>
  <si>
    <t xml:space="preserve">SR VOLUMES </t>
  </si>
  <si>
    <t>CF/MCV/U</t>
  </si>
  <si>
    <t xml:space="preserve">sachets </t>
  </si>
  <si>
    <t>X</t>
  </si>
  <si>
    <t>EQ1 =</t>
  </si>
  <si>
    <t>EQ2</t>
  </si>
  <si>
    <t xml:space="preserve">EQ2 = </t>
  </si>
  <si>
    <t>EQ3</t>
  </si>
  <si>
    <t>0,58 X - 812.000 = 1,25 X - 2.000.000</t>
  </si>
  <si>
    <t>=</t>
  </si>
  <si>
    <t xml:space="preserve">volumes </t>
  </si>
  <si>
    <t xml:space="preserve">résultat </t>
  </si>
  <si>
    <t>Y</t>
  </si>
  <si>
    <t>TOTAL</t>
  </si>
  <si>
    <t>MP</t>
  </si>
  <si>
    <t>MOD</t>
  </si>
  <si>
    <t>ATELIER</t>
  </si>
  <si>
    <t>DISTR</t>
  </si>
  <si>
    <t>FIXE</t>
  </si>
  <si>
    <t xml:space="preserve">VARIABLE </t>
  </si>
  <si>
    <t>CA</t>
  </si>
  <si>
    <t>RES</t>
  </si>
  <si>
    <t>CV</t>
  </si>
  <si>
    <t xml:space="preserve">MCV </t>
  </si>
  <si>
    <t>PV/U</t>
  </si>
  <si>
    <t>QTES</t>
  </si>
  <si>
    <t>PIEDS</t>
  </si>
  <si>
    <t>PLATEAU</t>
  </si>
  <si>
    <t>C PROD</t>
  </si>
  <si>
    <t>référence</t>
  </si>
  <si>
    <t>PV</t>
  </si>
  <si>
    <t>au lieu de</t>
  </si>
  <si>
    <t>MCV</t>
  </si>
  <si>
    <t xml:space="preserve">= </t>
  </si>
  <si>
    <t xml:space="preserve">CF </t>
  </si>
  <si>
    <t xml:space="preserve">+ </t>
  </si>
  <si>
    <t>?</t>
  </si>
  <si>
    <t xml:space="preserve">CA </t>
  </si>
  <si>
    <t>ARRONDI</t>
  </si>
  <si>
    <t>NB TABLES</t>
  </si>
  <si>
    <t>unités</t>
  </si>
  <si>
    <t>x</t>
  </si>
  <si>
    <t xml:space="preserve">y </t>
  </si>
  <si>
    <t>soit hausse</t>
  </si>
  <si>
    <t>SR</t>
  </si>
  <si>
    <t>soit</t>
  </si>
  <si>
    <t>TABLES</t>
  </si>
  <si>
    <t>CHEQUE N°3460024</t>
  </si>
  <si>
    <t>CHEQUE N°3460029</t>
  </si>
  <si>
    <t>CHEQUE N°3438030</t>
  </si>
  <si>
    <t>CHEQUE N°3438008</t>
  </si>
  <si>
    <t>CHEQUE N°3402007</t>
  </si>
  <si>
    <t>CHEQUE N°3438017</t>
  </si>
  <si>
    <t>CHEQUE N°3460028</t>
  </si>
  <si>
    <t>CHEQUE N°3438034</t>
  </si>
  <si>
    <t>CHEQUE N°3460004</t>
  </si>
  <si>
    <t>CHEQUE N°3438011</t>
  </si>
  <si>
    <t>CHEQUE N°3438035</t>
  </si>
  <si>
    <t>CHEQUE N°2740018</t>
  </si>
  <si>
    <t>CHEQUE N°3460008</t>
  </si>
  <si>
    <t>CHEQUE N°3438003</t>
  </si>
  <si>
    <t>VIREMENT DE DRFIP PAYS-DE-LOIRE</t>
  </si>
  <si>
    <t>OIRE-ATLANTIQUE</t>
  </si>
  <si>
    <t>1I044000023107595120818306/04/20</t>
  </si>
  <si>
    <t>PENSIONS ETAT 06/04/2013 31120/8</t>
  </si>
  <si>
    <t>3 091,84</t>
  </si>
  <si>
    <t>20 281,14</t>
  </si>
  <si>
    <t>CHEQUE N°3438025</t>
  </si>
  <si>
    <t>CHEQUE N°3460016</t>
  </si>
  <si>
    <t>CHEQUE N°3438024</t>
  </si>
  <si>
    <t>CHEQUE N°3460020</t>
  </si>
  <si>
    <t>COMMISSION D'INTERVENTION</t>
  </si>
  <si>
    <t>785450 VERSEMENT EFFECTUE LE</t>
  </si>
  <si>
    <t>270313 A SAINT CYR L ECOLE BP</t>
  </si>
  <si>
    <t>2 623,83</t>
  </si>
  <si>
    <t>FRAIS POUR TIP IMPAYE</t>
  </si>
  <si>
    <t>PRESENTE LE 22/03/2013</t>
  </si>
  <si>
    <t>PAR TIP EDF SIMM CREP</t>
  </si>
  <si>
    <t>POUR 75,00 EUROS</t>
  </si>
  <si>
    <t>POUR 33,49 EUROS</t>
  </si>
  <si>
    <t>CHEQUE N°2740010</t>
  </si>
  <si>
    <t>CHEQUE N°3438005</t>
  </si>
  <si>
    <t>CHEQUE N°3403040</t>
  </si>
  <si>
    <t>CHEQUE N°3438006</t>
  </si>
  <si>
    <t>785450 RETRAIT EFFECTUE LE</t>
  </si>
  <si>
    <t>190313 A SAINT CYR L ECOLE BP</t>
  </si>
  <si>
    <t>CHEQUE N°3403039</t>
  </si>
  <si>
    <t>PRELEVEMENT DE TRESOR PUBLIC</t>
  </si>
  <si>
    <t>MENM178107344903046</t>
  </si>
  <si>
    <t>REF : 1109074300648104</t>
  </si>
  <si>
    <t>-2 676,30</t>
  </si>
  <si>
    <t>MENM278002639505046</t>
  </si>
  <si>
    <t>REF : 1109074300648105</t>
  </si>
  <si>
    <t>-1 325,03</t>
  </si>
  <si>
    <t>MENM378011020269046</t>
  </si>
  <si>
    <t>REF : 1109074300648106</t>
  </si>
  <si>
    <t>CHEQUE N°3403023</t>
  </si>
  <si>
    <t>CHEQUE N°3403038</t>
  </si>
  <si>
    <t>CHEQUE N°3403033</t>
  </si>
  <si>
    <t>CHEQUE N°2740001</t>
  </si>
  <si>
    <t>CHEQUE N°3403028</t>
  </si>
  <si>
    <t>CHEQUE N°3460009</t>
  </si>
  <si>
    <t>CHEQUE N°3460012</t>
  </si>
  <si>
    <t>CHEQUE N°3438022</t>
  </si>
  <si>
    <t>CHEQUE N°3438002</t>
  </si>
  <si>
    <t>CHEQUE N°3438023</t>
  </si>
  <si>
    <t>CHEQUE N°3403036</t>
  </si>
  <si>
    <t>CHEQUE N°3403021</t>
  </si>
  <si>
    <t>CHEQUE N°3403031</t>
  </si>
  <si>
    <t>CHEQUE N°3403012</t>
  </si>
  <si>
    <t>CHEQUE N°3460007</t>
  </si>
  <si>
    <t>CHEQUE N°3460001</t>
  </si>
  <si>
    <t>CHEQUE N°3460021</t>
  </si>
  <si>
    <t>CHEQUE N°3460003</t>
  </si>
  <si>
    <t>110413 A SAINT CYR L ECOLE BP</t>
  </si>
  <si>
    <t>CHEQUE N°3438040</t>
  </si>
  <si>
    <t>CHEQUE N°3460011</t>
  </si>
  <si>
    <t>CHEQUE N°3460013</t>
  </si>
  <si>
    <t>CHEQUE N°3438013</t>
  </si>
  <si>
    <t>CHEQUE N°3466011</t>
  </si>
  <si>
    <t>TIP DE TIP EDF SIMM CREP</t>
  </si>
  <si>
    <t>CHEQUE N°3438038</t>
  </si>
  <si>
    <t>CHEQUE N°3460006</t>
  </si>
  <si>
    <t>CHEQUE N°3460022</t>
  </si>
  <si>
    <t>060413 A SAINT CYR L ECOLE BP</t>
  </si>
  <si>
    <t>PRELEVEMENT DE NUMERICABLE (02</t>
  </si>
  <si>
    <t>88881301-N045F9XU8 050413</t>
  </si>
  <si>
    <t>REF : 1109095300180133</t>
  </si>
  <si>
    <t>CHEQUE N°3438028</t>
  </si>
  <si>
    <t>CHEQUE N°3460017</t>
  </si>
  <si>
    <t>CHEQUE N°3460015</t>
  </si>
  <si>
    <t>INTERETS DEBITEURS 1ER TRIMESTRE</t>
  </si>
  <si>
    <t>TAEG ANNUEL DE 15,03 %</t>
  </si>
  <si>
    <t>AGIOS A 14,00 % : 32,71 ?</t>
  </si>
  <si>
    <t>AGIOS A 15,60 % : 0,10 ?</t>
  </si>
  <si>
    <t>CHEQUE N°3438032</t>
  </si>
  <si>
    <t>CHEQUE N°3438026</t>
  </si>
  <si>
    <t>CHEQUE N°3460010</t>
  </si>
  <si>
    <t>CHEQUE N°3438021</t>
  </si>
  <si>
    <t>CHEQUE N°3438027</t>
  </si>
  <si>
    <t>CHEQUE N°3460037</t>
  </si>
  <si>
    <t>CHEQUE N°3460027</t>
  </si>
  <si>
    <t>CHEQUE N°3460036</t>
  </si>
  <si>
    <t>CHEQUE N°3460035</t>
  </si>
  <si>
    <t>300313 A SAINT CYR L ECOLE BP</t>
  </si>
  <si>
    <t>VIREMENT DE MME MONIQUE SCILIEN</t>
  </si>
  <si>
    <t>VIREMENT CAISSE D'EPARGNE</t>
  </si>
  <si>
    <t>CHEQUE N°3403030</t>
  </si>
  <si>
    <t>CHEQUE N°3438033</t>
  </si>
  <si>
    <t>CHEQUE N°3403025</t>
  </si>
  <si>
    <t>CHEQUE N°3403009</t>
  </si>
  <si>
    <t>CHEQUE N°3460002</t>
  </si>
  <si>
    <t>110313 A SAINT CYR L ECOLE BP</t>
  </si>
  <si>
    <t>CHEQUE N°2740014</t>
  </si>
  <si>
    <t>CHEQUE N°2740036</t>
  </si>
  <si>
    <t>CHEQUE N°3438012</t>
  </si>
  <si>
    <t>CHEQUE N°3402029</t>
  </si>
  <si>
    <t>CHEQUE N°3438036</t>
  </si>
  <si>
    <t>060313 A SAINT CYR L ECOLE BP</t>
  </si>
  <si>
    <t>88881301-N035F9UW2 050313</t>
  </si>
  <si>
    <t>REF : 1109064300311611</t>
  </si>
  <si>
    <t>CHEQUE N°3403013</t>
  </si>
  <si>
    <t>CHEQUE N°3438016</t>
  </si>
  <si>
    <t>-2 394,24</t>
  </si>
  <si>
    <t>CHEQUE N°3402028</t>
  </si>
  <si>
    <t>CHEQUE N°3438004</t>
  </si>
  <si>
    <t>CHEQUE N°3403035</t>
  </si>
  <si>
    <t>CHEQUE N°3402009</t>
  </si>
  <si>
    <t>CHEQUE N°3438029</t>
  </si>
  <si>
    <t>CHEQUE N°3438031</t>
  </si>
  <si>
    <t>CHEQUE N°2740002</t>
  </si>
  <si>
    <t>CHEQUE N°3402040</t>
  </si>
  <si>
    <t>CHEQUE N°3403014</t>
  </si>
  <si>
    <t>CHEQUE N°3438009</t>
  </si>
  <si>
    <t>010313 A SAINT CYR L ECOLE BP</t>
  </si>
  <si>
    <t xml:space="preserve">T1 </t>
  </si>
  <si>
    <t xml:space="preserve">T2 </t>
  </si>
  <si>
    <t xml:space="preserve">T3 </t>
  </si>
  <si>
    <t xml:space="preserve">marge de </t>
  </si>
  <si>
    <t xml:space="preserve">sécurité à partir </t>
  </si>
  <si>
    <t>marge de sécurité</t>
  </si>
  <si>
    <t xml:space="preserve">à partir des volumes de sachets </t>
  </si>
  <si>
    <t>QUESTION 5</t>
  </si>
  <si>
    <t>pieds à fabr</t>
  </si>
  <si>
    <t>x     PV</t>
  </si>
  <si>
    <t>QUESTION 5 b</t>
  </si>
  <si>
    <t>cordelette</t>
  </si>
  <si>
    <t>boule</t>
  </si>
  <si>
    <t>tige en bois</t>
  </si>
  <si>
    <t>Z</t>
  </si>
  <si>
    <t xml:space="preserve">euros de PV unitaire </t>
  </si>
  <si>
    <t>bilbo</t>
  </si>
  <si>
    <t>y</t>
  </si>
  <si>
    <t>z</t>
  </si>
  <si>
    <t xml:space="preserve">conso Matières </t>
  </si>
  <si>
    <t>MO chargée</t>
  </si>
  <si>
    <t>Prix de vente/u</t>
  </si>
  <si>
    <t>Ch. De distribut</t>
  </si>
  <si>
    <t>COUT DE REVIENT unitaire</t>
  </si>
  <si>
    <t>TOTAL = CR EN VALEUR</t>
  </si>
  <si>
    <t xml:space="preserve">OU RES + CF </t>
  </si>
  <si>
    <t xml:space="preserve">PLUS RAPIDE </t>
  </si>
  <si>
    <t>DONC OK</t>
  </si>
  <si>
    <t xml:space="preserve">voir scan image </t>
  </si>
  <si>
    <t xml:space="preserve">tracer les courbes </t>
  </si>
  <si>
    <t>en prenant volumes x = 0</t>
  </si>
  <si>
    <t>et volumes x = 2.500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</si>
</sst>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00%"/>
    <numFmt numFmtId="165" formatCode="_-* #,##0.0000\ _€_-;\-* #,##0.0000\ _€_-;_-* &quot;-&quot;????\ _€_-;_-@_-"/>
    <numFmt numFmtId="166" formatCode="_-* #,##0.000000\ &quot;€&quot;_-;\-* #,##0.000000\ &quot;€&quot;_-;_-* &quot;-&quot;??????\ &quot;€&quot;_-;_-@_-"/>
    <numFmt numFmtId="167" formatCode="_-* #,##0.000\ _€_-;\-* #,##0.000\ _€_-;_-* &quot;-&quot;???\ _€_-;_-@_-"/>
    <numFmt numFmtId="168" formatCode="0.0%"/>
    <numFmt numFmtId="169" formatCode="_-* #,##0.0\ _€_-;\-* #,##0.0\ _€_-;_-* &quot;-&quot;?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2" borderId="18" xfId="0" applyNumberForma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23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10" fontId="0" fillId="3" borderId="20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10" xfId="0" applyNumberFormat="1" applyBorder="1" applyAlignment="1">
      <alignment horizontal="center"/>
    </xf>
    <xf numFmtId="42" fontId="0" fillId="0" borderId="11" xfId="0" applyNumberFormat="1" applyBorder="1" applyAlignment="1">
      <alignment horizontal="center"/>
    </xf>
    <xf numFmtId="42" fontId="0" fillId="0" borderId="4" xfId="0" applyNumberFormat="1" applyBorder="1" applyAlignment="1">
      <alignment horizontal="center"/>
    </xf>
    <xf numFmtId="42" fontId="0" fillId="0" borderId="6" xfId="0" applyNumberForma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41" fontId="0" fillId="0" borderId="27" xfId="0" applyNumberFormat="1" applyBorder="1" applyAlignment="1">
      <alignment horizontal="center"/>
    </xf>
    <xf numFmtId="0" fontId="0" fillId="0" borderId="15" xfId="0" quotePrefix="1" applyBorder="1" applyAlignment="1">
      <alignment horizontal="center"/>
    </xf>
    <xf numFmtId="41" fontId="0" fillId="0" borderId="25" xfId="0" quotePrefix="1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28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14" fontId="0" fillId="0" borderId="10" xfId="0" applyNumberFormat="1" applyBorder="1"/>
    <xf numFmtId="0" fontId="0" fillId="0" borderId="10" xfId="0" applyBorder="1"/>
    <xf numFmtId="0" fontId="0" fillId="0" borderId="4" xfId="0" applyBorder="1"/>
    <xf numFmtId="14" fontId="0" fillId="2" borderId="10" xfId="0" applyNumberFormat="1" applyFill="1" applyBorder="1"/>
    <xf numFmtId="0" fontId="0" fillId="2" borderId="10" xfId="0" applyFill="1" applyBorder="1"/>
    <xf numFmtId="44" fontId="0" fillId="0" borderId="0" xfId="0" applyNumberFormat="1"/>
    <xf numFmtId="9" fontId="0" fillId="0" borderId="0" xfId="0" applyNumberFormat="1"/>
    <xf numFmtId="9" fontId="0" fillId="0" borderId="29" xfId="0" applyNumberFormat="1" applyBorder="1"/>
    <xf numFmtId="9" fontId="0" fillId="0" borderId="30" xfId="0" applyNumberFormat="1" applyBorder="1"/>
    <xf numFmtId="9" fontId="0" fillId="0" borderId="31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0" fontId="0" fillId="0" borderId="0" xfId="0" applyNumberFormat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42" fontId="0" fillId="4" borderId="2" xfId="0" applyNumberFormat="1" applyFill="1" applyBorder="1" applyAlignment="1">
      <alignment horizontal="center"/>
    </xf>
    <xf numFmtId="42" fontId="0" fillId="4" borderId="0" xfId="0" applyNumberFormat="1" applyFill="1" applyBorder="1" applyAlignment="1">
      <alignment horizontal="center"/>
    </xf>
    <xf numFmtId="41" fontId="0" fillId="4" borderId="12" xfId="0" applyNumberFormat="1" applyFill="1" applyBorder="1" applyAlignment="1">
      <alignment horizontal="center"/>
    </xf>
    <xf numFmtId="41" fontId="0" fillId="4" borderId="0" xfId="0" applyNumberFormat="1" applyFill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1" fontId="0" fillId="2" borderId="0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10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2" fontId="0" fillId="0" borderId="22" xfId="0" applyNumberFormat="1" applyBorder="1" applyAlignment="1">
      <alignment horizontal="center"/>
    </xf>
    <xf numFmtId="4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41" fontId="0" fillId="0" borderId="0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2" fontId="0" fillId="0" borderId="1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7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4" borderId="2" xfId="0" applyNumberFormat="1" applyFill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2" fontId="0" fillId="4" borderId="0" xfId="0" applyNumberFormat="1" applyFill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0" fillId="2" borderId="18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1" fontId="0" fillId="4" borderId="0" xfId="0" applyNumberForma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10" fontId="0" fillId="3" borderId="20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0" fillId="0" borderId="25" xfId="0" quotePrefix="1" applyNumberFormat="1" applyBorder="1" applyAlignment="1">
      <alignment horizontal="center" vertical="center"/>
    </xf>
    <xf numFmtId="41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1" fontId="0" fillId="2" borderId="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0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10" fontId="0" fillId="2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2" fontId="0" fillId="0" borderId="32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1" fillId="0" borderId="0" xfId="0" applyFont="1"/>
    <xf numFmtId="16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C68" sqref="C68"/>
    </sheetView>
  </sheetViews>
  <sheetFormatPr baseColWidth="10" defaultRowHeight="15" x14ac:dyDescent="0.25"/>
  <cols>
    <col min="2" max="2" width="11.42578125" style="1"/>
    <col min="3" max="3" width="14.28515625" style="1" customWidth="1"/>
    <col min="4" max="7" width="11.42578125" style="1"/>
    <col min="14" max="14" width="11.85546875" bestFit="1" customWidth="1"/>
    <col min="15" max="15" width="12.85546875" bestFit="1" customWidth="1"/>
  </cols>
  <sheetData>
    <row r="1" spans="3:6" ht="15.75" thickBot="1" x14ac:dyDescent="0.3"/>
    <row r="2" spans="3:6" x14ac:dyDescent="0.25">
      <c r="C2" s="2" t="s">
        <v>9</v>
      </c>
      <c r="D2" s="3">
        <v>2500</v>
      </c>
      <c r="E2" s="3">
        <v>2500</v>
      </c>
      <c r="F2" s="4">
        <v>2500</v>
      </c>
    </row>
    <row r="3" spans="3:6" ht="15.75" thickBot="1" x14ac:dyDescent="0.3">
      <c r="C3" s="5" t="s">
        <v>7</v>
      </c>
      <c r="D3" s="6"/>
      <c r="E3" s="6"/>
      <c r="F3" s="7"/>
    </row>
    <row r="4" spans="3:6" ht="15.75" thickBot="1" x14ac:dyDescent="0.3"/>
    <row r="5" spans="3:6" x14ac:dyDescent="0.25">
      <c r="C5" s="2" t="s">
        <v>5</v>
      </c>
      <c r="D5" s="3" t="s">
        <v>0</v>
      </c>
      <c r="E5" s="3" t="s">
        <v>1</v>
      </c>
      <c r="F5" s="4" t="s">
        <v>2</v>
      </c>
    </row>
    <row r="6" spans="3:6" x14ac:dyDescent="0.25">
      <c r="C6" s="14"/>
      <c r="D6" s="15"/>
      <c r="E6" s="15"/>
      <c r="F6" s="16"/>
    </row>
    <row r="7" spans="3:6" x14ac:dyDescent="0.25">
      <c r="C7" s="14" t="s">
        <v>3</v>
      </c>
      <c r="D7" s="15">
        <v>638</v>
      </c>
      <c r="E7" s="15">
        <v>1125</v>
      </c>
      <c r="F7" s="16">
        <v>1540</v>
      </c>
    </row>
    <row r="8" spans="3:6" x14ac:dyDescent="0.25">
      <c r="C8" s="14" t="s">
        <v>4</v>
      </c>
      <c r="D8" s="15">
        <v>812</v>
      </c>
      <c r="E8" s="15">
        <v>2000</v>
      </c>
      <c r="F8" s="16">
        <v>3960</v>
      </c>
    </row>
    <row r="9" spans="3:6" x14ac:dyDescent="0.25">
      <c r="C9" s="14"/>
      <c r="D9" s="15"/>
      <c r="E9" s="15"/>
      <c r="F9" s="16"/>
    </row>
    <row r="10" spans="3:6" x14ac:dyDescent="0.25">
      <c r="C10" s="14" t="s">
        <v>10</v>
      </c>
      <c r="D10" s="15">
        <f>+D7+D8</f>
        <v>1450</v>
      </c>
      <c r="E10" s="15">
        <f t="shared" ref="E10:F10" si="0">+E7+E8</f>
        <v>3125</v>
      </c>
      <c r="F10" s="16">
        <f t="shared" si="0"/>
        <v>5500</v>
      </c>
    </row>
    <row r="11" spans="3:6" x14ac:dyDescent="0.25">
      <c r="C11" s="14"/>
      <c r="D11" s="15"/>
      <c r="E11" s="15"/>
      <c r="F11" s="16"/>
    </row>
    <row r="12" spans="3:6" ht="15.75" thickBot="1" x14ac:dyDescent="0.3">
      <c r="C12" s="5" t="s">
        <v>6</v>
      </c>
      <c r="D12" s="6">
        <f>D10/D2</f>
        <v>0.57999999999999996</v>
      </c>
      <c r="E12" s="6">
        <f t="shared" ref="E12:F12" si="1">E10/E2</f>
        <v>1.25</v>
      </c>
      <c r="F12" s="7">
        <f t="shared" si="1"/>
        <v>2.2000000000000002</v>
      </c>
    </row>
    <row r="13" spans="3:6" ht="15.75" thickBot="1" x14ac:dyDescent="0.3"/>
    <row r="14" spans="3:6" x14ac:dyDescent="0.25">
      <c r="C14" s="2" t="s">
        <v>8</v>
      </c>
      <c r="D14" s="3">
        <v>1980</v>
      </c>
      <c r="E14" s="3">
        <v>1980</v>
      </c>
      <c r="F14" s="4">
        <v>1980</v>
      </c>
    </row>
    <row r="15" spans="3:6" x14ac:dyDescent="0.25">
      <c r="C15" s="14"/>
      <c r="D15" s="15"/>
      <c r="E15" s="15"/>
      <c r="F15" s="16"/>
    </row>
    <row r="16" spans="3:6" x14ac:dyDescent="0.25">
      <c r="C16" s="14" t="s">
        <v>11</v>
      </c>
      <c r="D16" s="15">
        <f>D12*D14</f>
        <v>1148.3999999999999</v>
      </c>
      <c r="E16" s="15">
        <f t="shared" ref="E16:F16" si="2">E12*E14</f>
        <v>2475</v>
      </c>
      <c r="F16" s="16">
        <f t="shared" si="2"/>
        <v>4356</v>
      </c>
    </row>
    <row r="17" spans="3:6" ht="15.75" thickBot="1" x14ac:dyDescent="0.3">
      <c r="C17" s="5" t="s">
        <v>4</v>
      </c>
      <c r="D17" s="6">
        <v>812</v>
      </c>
      <c r="E17" s="6">
        <v>2000</v>
      </c>
      <c r="F17" s="7">
        <v>3960</v>
      </c>
    </row>
    <row r="18" spans="3:6" ht="15.75" thickBot="1" x14ac:dyDescent="0.3">
      <c r="C18" s="17" t="s">
        <v>12</v>
      </c>
      <c r="D18" s="18">
        <f>+D16-D17</f>
        <v>336.39999999999986</v>
      </c>
      <c r="E18" s="18">
        <f t="shared" ref="E18:F18" si="3">+E16-E17</f>
        <v>475</v>
      </c>
      <c r="F18" s="19">
        <f t="shared" si="3"/>
        <v>396</v>
      </c>
    </row>
    <row r="20" spans="3:6" ht="15.75" thickBot="1" x14ac:dyDescent="0.3"/>
    <row r="21" spans="3:6" x14ac:dyDescent="0.25">
      <c r="C21" s="1" t="s">
        <v>13</v>
      </c>
      <c r="D21" s="2">
        <f>+D8/D12</f>
        <v>1400</v>
      </c>
      <c r="E21" s="3">
        <f t="shared" ref="E21:F21" si="4">+E8/E12</f>
        <v>1600</v>
      </c>
      <c r="F21" s="4">
        <f t="shared" si="4"/>
        <v>1799.9999999999998</v>
      </c>
    </row>
    <row r="22" spans="3:6" ht="15.75" thickBot="1" x14ac:dyDescent="0.3">
      <c r="C22" s="1" t="s">
        <v>14</v>
      </c>
      <c r="D22" s="5" t="s">
        <v>15</v>
      </c>
      <c r="E22" s="6" t="s">
        <v>15</v>
      </c>
      <c r="F22" s="7" t="s">
        <v>15</v>
      </c>
    </row>
    <row r="24" spans="3:6" ht="15.75" thickBot="1" x14ac:dyDescent="0.3"/>
    <row r="25" spans="3:6" x14ac:dyDescent="0.25">
      <c r="C25" s="2" t="s">
        <v>16</v>
      </c>
      <c r="D25" s="3">
        <f>D12</f>
        <v>0.57999999999999996</v>
      </c>
      <c r="E25" s="3">
        <f t="shared" ref="E25:F25" si="5">E12</f>
        <v>1.25</v>
      </c>
      <c r="F25" s="4">
        <f t="shared" si="5"/>
        <v>2.2000000000000002</v>
      </c>
    </row>
    <row r="26" spans="3:6" ht="15.75" thickBot="1" x14ac:dyDescent="0.3">
      <c r="C26" s="5"/>
      <c r="D26" s="6">
        <f>-D17</f>
        <v>-812</v>
      </c>
      <c r="E26" s="6">
        <f t="shared" ref="E26:F26" si="6">-E17</f>
        <v>-2000</v>
      </c>
      <c r="F26" s="7">
        <f t="shared" si="6"/>
        <v>-3960</v>
      </c>
    </row>
    <row r="27" spans="3:6" ht="15.75" thickBot="1" x14ac:dyDescent="0.3"/>
    <row r="28" spans="3:6" ht="15.75" thickBot="1" x14ac:dyDescent="0.3">
      <c r="D28" s="10" t="s">
        <v>17</v>
      </c>
      <c r="E28" s="11" t="s">
        <v>18</v>
      </c>
    </row>
    <row r="29" spans="3:6" ht="15.75" thickBot="1" x14ac:dyDescent="0.3">
      <c r="E29" s="1">
        <v>1770</v>
      </c>
    </row>
    <row r="30" spans="3:6" ht="15.75" thickBot="1" x14ac:dyDescent="0.3">
      <c r="E30" s="10" t="s">
        <v>19</v>
      </c>
      <c r="F30" s="11" t="s">
        <v>20</v>
      </c>
    </row>
    <row r="31" spans="3:6" x14ac:dyDescent="0.25">
      <c r="F31" s="1">
        <v>2060</v>
      </c>
    </row>
    <row r="33" spans="1:10" x14ac:dyDescent="0.25">
      <c r="D33" s="1" t="s">
        <v>21</v>
      </c>
    </row>
    <row r="35" spans="1:10" x14ac:dyDescent="0.25">
      <c r="D35" s="1">
        <f>D25-E25</f>
        <v>-0.67</v>
      </c>
      <c r="E35" s="1" t="s">
        <v>22</v>
      </c>
      <c r="F35" s="1">
        <f>E26-D26</f>
        <v>-1188</v>
      </c>
    </row>
    <row r="36" spans="1:10" x14ac:dyDescent="0.25">
      <c r="D36" s="1" t="s">
        <v>16</v>
      </c>
    </row>
    <row r="38" spans="1:10" x14ac:dyDescent="0.25">
      <c r="D38" s="1" t="s">
        <v>16</v>
      </c>
      <c r="E38" s="1" t="s">
        <v>22</v>
      </c>
      <c r="F38" s="1">
        <f>F35/D35</f>
        <v>1773.1343283582089</v>
      </c>
    </row>
    <row r="40" spans="1:10" ht="15.75" thickBot="1" x14ac:dyDescent="0.3"/>
    <row r="41" spans="1:10" ht="15.75" thickBot="1" x14ac:dyDescent="0.3">
      <c r="A41" s="8">
        <v>1750</v>
      </c>
      <c r="B41" s="11">
        <v>1750</v>
      </c>
      <c r="D41" s="10">
        <v>1770</v>
      </c>
      <c r="E41" s="11">
        <v>1770</v>
      </c>
      <c r="G41" s="10">
        <v>1773</v>
      </c>
      <c r="H41" s="9">
        <f>+G41</f>
        <v>1773</v>
      </c>
      <c r="I41" s="8">
        <v>1800</v>
      </c>
      <c r="J41" s="9">
        <v>1800</v>
      </c>
    </row>
    <row r="42" spans="1:10" x14ac:dyDescent="0.25">
      <c r="A42">
        <f>+A41*D25</f>
        <v>1014.9999999999999</v>
      </c>
      <c r="B42" s="1">
        <f>+B41*E25</f>
        <v>2187.5</v>
      </c>
      <c r="D42" s="1">
        <f>+D41*D25</f>
        <v>1026.5999999999999</v>
      </c>
      <c r="E42" s="1">
        <f>E41*E25</f>
        <v>2212.5</v>
      </c>
      <c r="G42" s="1">
        <f>+G41*D25</f>
        <v>1028.3399999999999</v>
      </c>
      <c r="H42">
        <f>+H41*E25</f>
        <v>2216.25</v>
      </c>
      <c r="I42">
        <f>+D25*I41</f>
        <v>1044</v>
      </c>
      <c r="J42">
        <f>E25*J41</f>
        <v>2250</v>
      </c>
    </row>
    <row r="43" spans="1:10" ht="15.75" thickBot="1" x14ac:dyDescent="0.3">
      <c r="A43" s="12">
        <f>+D26</f>
        <v>-812</v>
      </c>
      <c r="B43" s="20">
        <f>+E26</f>
        <v>-2000</v>
      </c>
      <c r="D43" s="20">
        <f>D26</f>
        <v>-812</v>
      </c>
      <c r="E43" s="20">
        <f>E26</f>
        <v>-2000</v>
      </c>
      <c r="G43" s="21">
        <f>D26</f>
        <v>-812</v>
      </c>
      <c r="H43" s="13">
        <f>E26</f>
        <v>-2000</v>
      </c>
      <c r="I43" s="12">
        <f>D26</f>
        <v>-812</v>
      </c>
      <c r="J43" s="12">
        <f>E26</f>
        <v>-2000</v>
      </c>
    </row>
    <row r="44" spans="1:10" ht="15.75" thickTop="1" x14ac:dyDescent="0.25">
      <c r="A44">
        <f>A42+A43</f>
        <v>202.99999999999989</v>
      </c>
      <c r="B44" s="1">
        <f>B42+B43</f>
        <v>187.5</v>
      </c>
      <c r="D44" s="1">
        <f>D42+D43</f>
        <v>214.59999999999991</v>
      </c>
      <c r="E44" s="1">
        <f>E42+E43</f>
        <v>212.5</v>
      </c>
      <c r="G44" s="1">
        <f>G42+G43</f>
        <v>216.33999999999992</v>
      </c>
      <c r="H44">
        <f>H42+H43</f>
        <v>216.25</v>
      </c>
      <c r="I44">
        <f>I42+I43</f>
        <v>232</v>
      </c>
      <c r="J44">
        <f>J42+J43</f>
        <v>250</v>
      </c>
    </row>
    <row r="45" spans="1:10" x14ac:dyDescent="0.25">
      <c r="E45" s="1">
        <f>D44-E44</f>
        <v>2.0999999999999091</v>
      </c>
      <c r="H45">
        <f>+G44-H44</f>
        <v>8.9999999999918145E-2</v>
      </c>
    </row>
    <row r="46" spans="1:10" ht="15.75" thickBot="1" x14ac:dyDescent="0.3"/>
    <row r="47" spans="1:10" ht="15.75" thickBot="1" x14ac:dyDescent="0.3">
      <c r="E47" s="10">
        <v>2060</v>
      </c>
      <c r="F47" s="11">
        <v>2060</v>
      </c>
    </row>
    <row r="48" spans="1:10" x14ac:dyDescent="0.25">
      <c r="E48" s="1">
        <f>+E47*E25</f>
        <v>2575</v>
      </c>
      <c r="F48" s="1">
        <f>F47*F25</f>
        <v>4532</v>
      </c>
    </row>
    <row r="49" spans="3:15" ht="15.75" thickBot="1" x14ac:dyDescent="0.3">
      <c r="E49" s="20">
        <f>E26</f>
        <v>-2000</v>
      </c>
      <c r="F49" s="20">
        <f>F26</f>
        <v>-3960</v>
      </c>
    </row>
    <row r="50" spans="3:15" ht="15.75" thickTop="1" x14ac:dyDescent="0.25">
      <c r="E50" s="22">
        <f>E48+E49</f>
        <v>575</v>
      </c>
      <c r="F50" s="22">
        <f>F48+F49</f>
        <v>572</v>
      </c>
    </row>
    <row r="51" spans="3:15" ht="15.75" thickBot="1" x14ac:dyDescent="0.3"/>
    <row r="52" spans="3:15" x14ac:dyDescent="0.25">
      <c r="C52" s="2"/>
      <c r="D52" s="3"/>
      <c r="E52" s="3"/>
      <c r="F52" s="3"/>
      <c r="G52" s="4"/>
    </row>
    <row r="53" spans="3:15" x14ac:dyDescent="0.25">
      <c r="C53" s="14"/>
      <c r="D53" s="23" t="s">
        <v>24</v>
      </c>
      <c r="E53" s="15"/>
      <c r="F53" s="15"/>
      <c r="G53" s="16"/>
    </row>
    <row r="54" spans="3:15" x14ac:dyDescent="0.25">
      <c r="C54" s="14"/>
      <c r="D54" s="23"/>
      <c r="E54" s="15"/>
      <c r="F54" s="15"/>
      <c r="G54" s="16"/>
    </row>
    <row r="55" spans="3:15" x14ac:dyDescent="0.25">
      <c r="C55" s="14"/>
      <c r="D55" s="23"/>
      <c r="E55" s="15"/>
      <c r="F55" s="15"/>
      <c r="G55" s="16"/>
      <c r="K55">
        <v>17500</v>
      </c>
      <c r="N55" s="86">
        <v>2500</v>
      </c>
    </row>
    <row r="56" spans="3:15" x14ac:dyDescent="0.25">
      <c r="C56" s="14"/>
      <c r="D56" s="24"/>
      <c r="E56" s="25"/>
      <c r="F56" s="25" t="s">
        <v>23</v>
      </c>
      <c r="G56" s="16"/>
      <c r="K56">
        <v>26</v>
      </c>
      <c r="N56" s="86">
        <v>12</v>
      </c>
    </row>
    <row r="57" spans="3:15" x14ac:dyDescent="0.25">
      <c r="C57" s="14"/>
      <c r="D57" s="23"/>
      <c r="E57" s="15"/>
      <c r="F57" s="15"/>
      <c r="G57" s="16"/>
      <c r="K57">
        <f>+K55/K56</f>
        <v>673.07692307692309</v>
      </c>
      <c r="N57" s="86">
        <f>+N56*N55</f>
        <v>30000</v>
      </c>
      <c r="O57">
        <v>10</v>
      </c>
    </row>
    <row r="58" spans="3:15" x14ac:dyDescent="0.25">
      <c r="C58" s="14"/>
      <c r="D58" s="23"/>
      <c r="E58" s="15"/>
      <c r="F58" s="15"/>
      <c r="G58" s="16"/>
      <c r="O58" s="86">
        <f>+O57*N57</f>
        <v>300000</v>
      </c>
    </row>
    <row r="59" spans="3:15" x14ac:dyDescent="0.25">
      <c r="C59" s="14"/>
      <c r="D59" s="23"/>
      <c r="E59" s="15"/>
      <c r="F59" s="15"/>
      <c r="G59" s="16"/>
    </row>
    <row r="60" spans="3:15" ht="15.75" thickBot="1" x14ac:dyDescent="0.3">
      <c r="C60" s="5"/>
      <c r="D60" s="6"/>
      <c r="E60" s="6"/>
      <c r="F60" s="6"/>
      <c r="G60" s="7"/>
    </row>
    <row r="62" spans="3:15" x14ac:dyDescent="0.25">
      <c r="D62" s="1" t="s">
        <v>216</v>
      </c>
      <c r="I62">
        <v>18</v>
      </c>
      <c r="K62">
        <v>12</v>
      </c>
      <c r="N62">
        <v>120</v>
      </c>
    </row>
    <row r="63" spans="3:15" x14ac:dyDescent="0.25">
      <c r="I63">
        <v>5</v>
      </c>
      <c r="K63">
        <v>2</v>
      </c>
    </row>
    <row r="64" spans="3:15" x14ac:dyDescent="0.25">
      <c r="C64" s="1" t="s">
        <v>217</v>
      </c>
      <c r="I64">
        <f>I62*I63</f>
        <v>90</v>
      </c>
      <c r="K64">
        <v>1.5</v>
      </c>
    </row>
    <row r="65" spans="3:14" x14ac:dyDescent="0.25">
      <c r="C65" s="1" t="s">
        <v>218</v>
      </c>
      <c r="I65">
        <v>403</v>
      </c>
      <c r="N65">
        <v>350000</v>
      </c>
    </row>
    <row r="66" spans="3:14" x14ac:dyDescent="0.25">
      <c r="C66" s="1" t="s">
        <v>219</v>
      </c>
      <c r="I66">
        <f>+I65-I64</f>
        <v>313</v>
      </c>
      <c r="K66">
        <f>+K62*K63*K64</f>
        <v>36</v>
      </c>
    </row>
    <row r="67" spans="3:14" x14ac:dyDescent="0.25">
      <c r="F67" s="1">
        <v>630000</v>
      </c>
      <c r="K67">
        <v>313</v>
      </c>
      <c r="N67">
        <f>+N65/N62</f>
        <v>2916.6666666666665</v>
      </c>
    </row>
    <row r="68" spans="3:14" x14ac:dyDescent="0.25">
      <c r="F68" s="1">
        <v>430</v>
      </c>
      <c r="K68">
        <f>+K67+K66</f>
        <v>349</v>
      </c>
    </row>
    <row r="69" spans="3:14" x14ac:dyDescent="0.25">
      <c r="F69" s="1">
        <f>+F67/F68</f>
        <v>1465.1162790697674</v>
      </c>
      <c r="K69">
        <v>384</v>
      </c>
    </row>
    <row r="71" spans="3:14" x14ac:dyDescent="0.25">
      <c r="K71">
        <f>K69-K68</f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75"/>
  <sheetViews>
    <sheetView topLeftCell="C13" zoomScale="80" zoomScaleNormal="80" workbookViewId="0">
      <selection activeCell="D43" sqref="D43"/>
    </sheetView>
  </sheetViews>
  <sheetFormatPr baseColWidth="10" defaultRowHeight="15" x14ac:dyDescent="0.25"/>
  <cols>
    <col min="3" max="3" width="11.42578125" style="1"/>
    <col min="4" max="4" width="25.5703125" style="1" customWidth="1"/>
    <col min="5" max="5" width="19.42578125" style="1" bestFit="1" customWidth="1"/>
    <col min="6" max="6" width="12.85546875" style="1" bestFit="1" customWidth="1"/>
    <col min="7" max="7" width="14.28515625" style="1" bestFit="1" customWidth="1"/>
    <col min="8" max="8" width="13.85546875" style="1" customWidth="1"/>
    <col min="9" max="10" width="11.42578125" style="1"/>
    <col min="12" max="12" width="16.140625" customWidth="1"/>
    <col min="13" max="13" width="32.7109375" customWidth="1"/>
    <col min="22" max="22" width="14.85546875" style="123" customWidth="1"/>
    <col min="23" max="25" width="11.42578125" style="123"/>
    <col min="26" max="26" width="12.28515625" customWidth="1"/>
    <col min="27" max="27" width="12.5703125" customWidth="1"/>
    <col min="28" max="28" width="14.7109375" customWidth="1"/>
  </cols>
  <sheetData>
    <row r="2" spans="4:29" x14ac:dyDescent="0.25">
      <c r="V2" s="189"/>
      <c r="W2" s="189" t="s">
        <v>54</v>
      </c>
      <c r="X2" s="189" t="s">
        <v>205</v>
      </c>
      <c r="Y2" s="189" t="s">
        <v>206</v>
      </c>
    </row>
    <row r="3" spans="4:29" x14ac:dyDescent="0.25">
      <c r="V3" s="189" t="s">
        <v>207</v>
      </c>
      <c r="W3" s="190">
        <f>X16</f>
        <v>50000</v>
      </c>
      <c r="X3" s="190">
        <f t="shared" ref="X3:Y3" si="0">Y16</f>
        <v>25000</v>
      </c>
      <c r="Y3" s="190">
        <f t="shared" si="0"/>
        <v>66000</v>
      </c>
    </row>
    <row r="4" spans="4:29" x14ac:dyDescent="0.25">
      <c r="V4" s="189" t="s">
        <v>208</v>
      </c>
      <c r="W4" s="190">
        <f>X17</f>
        <v>50000</v>
      </c>
      <c r="X4" s="190">
        <f t="shared" ref="X4:Y4" si="1">Y17</f>
        <v>100000</v>
      </c>
      <c r="Y4" s="190">
        <f t="shared" si="1"/>
        <v>50000</v>
      </c>
    </row>
    <row r="5" spans="4:29" x14ac:dyDescent="0.25">
      <c r="V5" s="189" t="s">
        <v>209</v>
      </c>
      <c r="W5" s="190">
        <f>X11</f>
        <v>3</v>
      </c>
      <c r="X5" s="190">
        <f t="shared" ref="X5:Y5" si="2">Y11</f>
        <v>6</v>
      </c>
      <c r="Y5" s="190">
        <f t="shared" si="2"/>
        <v>8</v>
      </c>
    </row>
    <row r="6" spans="4:29" x14ac:dyDescent="0.25">
      <c r="V6" s="189" t="s">
        <v>210</v>
      </c>
      <c r="W6" s="191">
        <f>X26</f>
        <v>4.4999999999999998E-2</v>
      </c>
      <c r="X6" s="191">
        <f>Y26</f>
        <v>2.2499999999999999E-2</v>
      </c>
      <c r="Y6" s="191">
        <f>Z26</f>
        <v>2.2499999999999999E-2</v>
      </c>
    </row>
    <row r="8" spans="4:29" ht="15.75" thickBot="1" x14ac:dyDescent="0.3"/>
    <row r="9" spans="4:29" ht="15.75" thickBot="1" x14ac:dyDescent="0.3">
      <c r="E9" s="1" t="s">
        <v>39</v>
      </c>
      <c r="F9" s="1" t="s">
        <v>40</v>
      </c>
      <c r="X9" s="124" t="s">
        <v>199</v>
      </c>
      <c r="Y9" s="125" t="s">
        <v>200</v>
      </c>
      <c r="Z9" s="11" t="s">
        <v>201</v>
      </c>
      <c r="AA9" s="1"/>
      <c r="AB9" s="1"/>
      <c r="AC9" s="1"/>
    </row>
    <row r="10" spans="4:29" ht="15.75" thickBot="1" x14ac:dyDescent="0.3">
      <c r="D10" s="1" t="s">
        <v>38</v>
      </c>
      <c r="E10" s="40">
        <v>24000</v>
      </c>
      <c r="F10" s="37">
        <v>6000</v>
      </c>
      <c r="W10" s="124" t="s">
        <v>38</v>
      </c>
      <c r="X10" s="126">
        <v>24000</v>
      </c>
      <c r="Y10" s="127">
        <v>24000</v>
      </c>
      <c r="Z10" s="120">
        <v>24000</v>
      </c>
      <c r="AA10" s="1"/>
      <c r="AB10" s="1"/>
      <c r="AC10" s="1"/>
    </row>
    <row r="11" spans="4:29" ht="15.75" thickBot="1" x14ac:dyDescent="0.3">
      <c r="D11" s="1" t="s">
        <v>37</v>
      </c>
      <c r="E11" s="57">
        <v>35</v>
      </c>
      <c r="F11" s="58">
        <v>60</v>
      </c>
      <c r="G11" s="56"/>
      <c r="W11" s="123" t="s">
        <v>37</v>
      </c>
      <c r="X11" s="128">
        <v>3</v>
      </c>
      <c r="Y11" s="129">
        <v>6</v>
      </c>
      <c r="Z11" s="118">
        <v>8</v>
      </c>
      <c r="AA11" s="1"/>
      <c r="AB11" s="1"/>
      <c r="AC11" s="1"/>
    </row>
    <row r="12" spans="4:29" ht="15.75" thickBot="1" x14ac:dyDescent="0.3">
      <c r="D12" s="1" t="s">
        <v>33</v>
      </c>
      <c r="E12" s="59">
        <f>+E10*E11</f>
        <v>840000</v>
      </c>
      <c r="F12" s="60">
        <f>+F10*F11</f>
        <v>360000</v>
      </c>
      <c r="G12" s="56"/>
      <c r="W12" s="124" t="s">
        <v>33</v>
      </c>
      <c r="X12" s="130">
        <f>+X10*X11</f>
        <v>72000</v>
      </c>
      <c r="Y12" s="130">
        <f t="shared" ref="Y12:Z12" si="3">+Y10*Y11</f>
        <v>144000</v>
      </c>
      <c r="Z12" s="119">
        <f t="shared" si="3"/>
        <v>192000</v>
      </c>
      <c r="AA12" s="1"/>
      <c r="AB12" s="1"/>
      <c r="AC12" s="1"/>
    </row>
    <row r="13" spans="4:29" ht="15.75" thickBot="1" x14ac:dyDescent="0.3">
      <c r="E13" s="73"/>
      <c r="F13" s="56"/>
      <c r="G13" s="56"/>
      <c r="X13" s="131"/>
      <c r="Y13" s="131"/>
      <c r="Z13" s="56"/>
      <c r="AA13" s="1"/>
      <c r="AB13" s="1"/>
      <c r="AC13" s="1"/>
    </row>
    <row r="14" spans="4:29" ht="15.75" thickBot="1" x14ac:dyDescent="0.3">
      <c r="D14" s="10"/>
      <c r="E14" s="61" t="s">
        <v>16</v>
      </c>
      <c r="F14" s="61" t="s">
        <v>25</v>
      </c>
      <c r="G14" s="61" t="s">
        <v>26</v>
      </c>
      <c r="H14" s="11"/>
      <c r="W14" s="124"/>
      <c r="X14" s="132" t="s">
        <v>16</v>
      </c>
      <c r="Y14" s="132" t="s">
        <v>25</v>
      </c>
      <c r="Z14" s="61" t="s">
        <v>202</v>
      </c>
      <c r="AA14" s="11" t="s">
        <v>26</v>
      </c>
      <c r="AB14" s="1"/>
      <c r="AC14" s="1"/>
    </row>
    <row r="15" spans="4:29" ht="15.75" thickBot="1" x14ac:dyDescent="0.3">
      <c r="E15" s="56"/>
      <c r="F15" s="56"/>
      <c r="G15" s="56"/>
      <c r="X15" s="131"/>
      <c r="Y15" s="131"/>
      <c r="Z15" s="56"/>
      <c r="AA15" s="1"/>
      <c r="AB15" s="1"/>
      <c r="AC15" s="1"/>
    </row>
    <row r="16" spans="4:29" x14ac:dyDescent="0.25">
      <c r="D16" s="2" t="s">
        <v>27</v>
      </c>
      <c r="E16" s="99">
        <v>199200</v>
      </c>
      <c r="F16" s="62">
        <v>78000</v>
      </c>
      <c r="G16" s="62">
        <f>SUM(E16:F16)</f>
        <v>277200</v>
      </c>
      <c r="H16" s="37"/>
      <c r="W16" s="133" t="s">
        <v>27</v>
      </c>
      <c r="X16" s="134">
        <v>50000</v>
      </c>
      <c r="Y16" s="135">
        <v>25000</v>
      </c>
      <c r="Z16" s="62">
        <v>66000</v>
      </c>
      <c r="AA16" s="37"/>
      <c r="AB16" s="1"/>
      <c r="AC16" s="1"/>
    </row>
    <row r="17" spans="2:29" x14ac:dyDescent="0.25">
      <c r="D17" s="14" t="s">
        <v>28</v>
      </c>
      <c r="E17" s="100">
        <v>84000</v>
      </c>
      <c r="F17" s="63">
        <v>36000</v>
      </c>
      <c r="G17" s="63">
        <f>SUM(E17:F17)</f>
        <v>120000</v>
      </c>
      <c r="H17" s="32"/>
      <c r="W17" s="136" t="s">
        <v>28</v>
      </c>
      <c r="X17" s="137">
        <v>50000</v>
      </c>
      <c r="Y17" s="138">
        <v>100000</v>
      </c>
      <c r="Z17" s="63">
        <v>50000</v>
      </c>
      <c r="AA17" s="32"/>
      <c r="AB17" s="56">
        <f>+Z17+Y17+X17</f>
        <v>200000</v>
      </c>
      <c r="AC17" s="1"/>
    </row>
    <row r="18" spans="2:29" x14ac:dyDescent="0.25">
      <c r="D18" s="14"/>
      <c r="E18" s="15">
        <f>+E17/G17</f>
        <v>0.7</v>
      </c>
      <c r="F18" s="15">
        <f>+F17/G17</f>
        <v>0.3</v>
      </c>
      <c r="G18" s="15"/>
      <c r="H18" s="16"/>
      <c r="W18" s="136"/>
      <c r="X18" s="139">
        <f>+X17/AB17</f>
        <v>0.25</v>
      </c>
      <c r="Y18" s="140">
        <f>+Y17/AB17</f>
        <v>0.5</v>
      </c>
      <c r="Z18" s="121">
        <f>+Z17/AB17</f>
        <v>0.25</v>
      </c>
      <c r="AA18" s="16"/>
      <c r="AB18" s="1"/>
      <c r="AC18" s="1"/>
    </row>
    <row r="19" spans="2:29" ht="15.75" thickBot="1" x14ac:dyDescent="0.3">
      <c r="D19" s="14"/>
      <c r="E19" s="15"/>
      <c r="F19" s="15"/>
      <c r="G19" s="15"/>
      <c r="H19" s="16"/>
      <c r="W19" s="136"/>
      <c r="X19" s="141"/>
      <c r="Y19" s="141"/>
      <c r="Z19" s="15"/>
      <c r="AA19" s="16"/>
      <c r="AB19" s="1"/>
      <c r="AC19" s="1"/>
    </row>
    <row r="20" spans="2:29" x14ac:dyDescent="0.25">
      <c r="B20">
        <v>383600</v>
      </c>
      <c r="D20" s="26" t="s">
        <v>29</v>
      </c>
      <c r="E20" s="38">
        <v>224000</v>
      </c>
      <c r="F20" s="38">
        <v>96000</v>
      </c>
      <c r="G20" s="38">
        <f>SUM(E20:F20)</f>
        <v>320000</v>
      </c>
      <c r="H20" s="26" t="s">
        <v>31</v>
      </c>
      <c r="W20" s="142" t="s">
        <v>29</v>
      </c>
      <c r="X20" s="143">
        <f>+AB20*X21</f>
        <v>3000</v>
      </c>
      <c r="Y20" s="143">
        <f>+Y21*AB20</f>
        <v>6000</v>
      </c>
      <c r="Z20" s="38">
        <f>AB20*Z18</f>
        <v>3000</v>
      </c>
      <c r="AA20" s="26" t="s">
        <v>31</v>
      </c>
      <c r="AB20" s="1">
        <v>12000</v>
      </c>
      <c r="AC20" s="1"/>
    </row>
    <row r="21" spans="2:29" x14ac:dyDescent="0.25">
      <c r="B21">
        <v>164400</v>
      </c>
      <c r="D21" s="27"/>
      <c r="E21" s="197">
        <f>+E20/G20</f>
        <v>0.7</v>
      </c>
      <c r="F21" s="15">
        <f>+F20/G20</f>
        <v>0.3</v>
      </c>
      <c r="G21" s="15"/>
      <c r="H21" s="27"/>
      <c r="W21" s="144"/>
      <c r="X21" s="139">
        <v>0.25</v>
      </c>
      <c r="Y21" s="140">
        <v>0.5</v>
      </c>
      <c r="Z21" s="121">
        <v>0.25</v>
      </c>
      <c r="AA21" s="27"/>
      <c r="AB21" s="1"/>
      <c r="AC21" s="1"/>
    </row>
    <row r="22" spans="2:29" ht="15.75" thickBot="1" x14ac:dyDescent="0.3">
      <c r="B22">
        <f>+B21+B20</f>
        <v>548000</v>
      </c>
      <c r="D22" s="28"/>
      <c r="E22" s="101">
        <f>+B20-E20</f>
        <v>159600</v>
      </c>
      <c r="F22" s="45">
        <f>B21-F20</f>
        <v>68400</v>
      </c>
      <c r="G22" s="45">
        <f>548000-G20</f>
        <v>228000</v>
      </c>
      <c r="H22" s="28" t="s">
        <v>32</v>
      </c>
      <c r="W22" s="145"/>
      <c r="X22" s="146">
        <f>AB22*X21</f>
        <v>2000</v>
      </c>
      <c r="Y22" s="147">
        <f>AB22*Y21</f>
        <v>4000</v>
      </c>
      <c r="Z22" s="45">
        <f>AB22*Z21</f>
        <v>2000</v>
      </c>
      <c r="AA22" s="28" t="s">
        <v>32</v>
      </c>
      <c r="AB22" s="1">
        <v>8000</v>
      </c>
      <c r="AC22" s="1"/>
    </row>
    <row r="23" spans="2:29" x14ac:dyDescent="0.25">
      <c r="D23" s="14"/>
      <c r="E23" s="31"/>
      <c r="F23" s="31"/>
      <c r="G23" s="31"/>
      <c r="H23" s="16"/>
      <c r="W23" s="136"/>
      <c r="X23" s="148"/>
      <c r="Y23" s="148"/>
      <c r="Z23" s="31"/>
      <c r="AA23" s="16"/>
      <c r="AB23" s="1"/>
      <c r="AC23" s="1"/>
    </row>
    <row r="24" spans="2:29" ht="15.75" thickBot="1" x14ac:dyDescent="0.3">
      <c r="D24" s="5" t="s">
        <v>41</v>
      </c>
      <c r="E24" s="33">
        <f>+E20+E17+E16+E22</f>
        <v>666800</v>
      </c>
      <c r="F24" s="33">
        <f>+F20+F17+F16+F22</f>
        <v>278400</v>
      </c>
      <c r="G24" s="33">
        <f>+G20+G17+G16+G22</f>
        <v>945200</v>
      </c>
      <c r="H24" s="7"/>
      <c r="W24" s="149" t="s">
        <v>41</v>
      </c>
      <c r="X24" s="150">
        <f>X16+X17+X20+X22</f>
        <v>105000</v>
      </c>
      <c r="Y24" s="150">
        <f t="shared" ref="Y24:Z24" si="4">Y16+Y17+Y20+Y22</f>
        <v>135000</v>
      </c>
      <c r="Z24" s="33">
        <f t="shared" si="4"/>
        <v>121000</v>
      </c>
      <c r="AA24" s="7"/>
      <c r="AB24" s="1"/>
      <c r="AC24" s="1"/>
    </row>
    <row r="25" spans="2:29" ht="6" customHeight="1" thickBot="1" x14ac:dyDescent="0.3">
      <c r="E25" s="35"/>
      <c r="F25" s="35"/>
      <c r="G25" s="35"/>
      <c r="J25" s="1">
        <v>30</v>
      </c>
      <c r="X25" s="151"/>
      <c r="Y25" s="151"/>
      <c r="Z25" s="35"/>
      <c r="AA25" s="1"/>
      <c r="AB25" s="1"/>
      <c r="AC25" s="1">
        <v>30</v>
      </c>
    </row>
    <row r="26" spans="2:29" x14ac:dyDescent="0.25">
      <c r="D26" s="2" t="s">
        <v>30</v>
      </c>
      <c r="E26" s="41">
        <v>4.4999999999999998E-2</v>
      </c>
      <c r="F26" s="41">
        <v>2.2499999999999999E-2</v>
      </c>
      <c r="G26" s="3"/>
      <c r="H26" s="4"/>
      <c r="J26" s="1">
        <v>120</v>
      </c>
      <c r="W26" s="133" t="s">
        <v>30</v>
      </c>
      <c r="X26" s="152">
        <v>4.4999999999999998E-2</v>
      </c>
      <c r="Y26" s="152">
        <v>2.2499999999999999E-2</v>
      </c>
      <c r="Z26" s="41">
        <f>+Y26</f>
        <v>2.2499999999999999E-2</v>
      </c>
      <c r="AA26" s="4"/>
      <c r="AB26" s="1"/>
      <c r="AC26" s="1">
        <v>120</v>
      </c>
    </row>
    <row r="27" spans="2:29" x14ac:dyDescent="0.25">
      <c r="D27" s="14"/>
      <c r="E27" s="102">
        <f>E26*E12</f>
        <v>37800</v>
      </c>
      <c r="F27" s="31">
        <f>F26*F12</f>
        <v>8100</v>
      </c>
      <c r="G27" s="31">
        <f>SUM(E27:F27)</f>
        <v>45900</v>
      </c>
      <c r="H27" s="32"/>
      <c r="J27" s="1">
        <f>120/J25</f>
        <v>4</v>
      </c>
      <c r="W27" s="136"/>
      <c r="X27" s="153">
        <f>+X26*X12</f>
        <v>3240</v>
      </c>
      <c r="Y27" s="153">
        <f>+Y26*Y12</f>
        <v>3240</v>
      </c>
      <c r="Z27" s="102">
        <f>+Z26*Z12</f>
        <v>4320</v>
      </c>
      <c r="AA27" s="32"/>
      <c r="AB27" s="1"/>
      <c r="AC27" s="1">
        <v>4</v>
      </c>
    </row>
    <row r="28" spans="2:29" x14ac:dyDescent="0.25">
      <c r="D28" s="14"/>
      <c r="E28" s="31"/>
      <c r="F28" s="31"/>
      <c r="G28" s="31"/>
      <c r="H28" s="32"/>
      <c r="W28" s="136"/>
      <c r="X28" s="148"/>
      <c r="Y28" s="148"/>
      <c r="Z28" s="31"/>
      <c r="AA28" s="32"/>
      <c r="AB28" s="1"/>
      <c r="AC28" s="1"/>
    </row>
    <row r="29" spans="2:29" x14ac:dyDescent="0.25">
      <c r="D29" s="14" t="s">
        <v>212</v>
      </c>
      <c r="E29" s="192">
        <f>+E27+E24</f>
        <v>704600</v>
      </c>
      <c r="F29" s="192">
        <f>+F27+F24</f>
        <v>286500</v>
      </c>
      <c r="G29" s="192">
        <f>+F29+E29</f>
        <v>991100</v>
      </c>
      <c r="H29" s="32"/>
      <c r="W29" s="136" t="s">
        <v>26</v>
      </c>
      <c r="X29" s="148">
        <f>X24+X27</f>
        <v>108240</v>
      </c>
      <c r="Y29" s="148">
        <f t="shared" ref="Y29:Z29" si="5">Y24+Y27</f>
        <v>138240</v>
      </c>
      <c r="Z29" s="31">
        <f t="shared" si="5"/>
        <v>125320</v>
      </c>
      <c r="AA29" s="32"/>
      <c r="AB29" s="1"/>
      <c r="AC29" s="1"/>
    </row>
    <row r="30" spans="2:29" x14ac:dyDescent="0.25">
      <c r="D30" s="14" t="s">
        <v>211</v>
      </c>
      <c r="E30" s="78">
        <f>+E29/E10</f>
        <v>29.358333333333334</v>
      </c>
      <c r="F30" s="78">
        <f>+F29/F10</f>
        <v>47.75</v>
      </c>
      <c r="G30" s="78">
        <f>G29/6000</f>
        <v>165.18333333333334</v>
      </c>
      <c r="H30" s="32"/>
      <c r="W30" s="136"/>
      <c r="X30" s="154">
        <v>29.358333333333334</v>
      </c>
      <c r="Y30" s="154">
        <v>47.75</v>
      </c>
      <c r="Z30" s="31"/>
      <c r="AA30" s="32"/>
      <c r="AB30" s="1"/>
      <c r="AC30" s="1"/>
    </row>
    <row r="31" spans="2:29" ht="15.75" thickBot="1" x14ac:dyDescent="0.3">
      <c r="D31" s="5" t="s">
        <v>33</v>
      </c>
      <c r="E31" s="193">
        <f>+E12</f>
        <v>840000</v>
      </c>
      <c r="F31" s="193">
        <f>+F12</f>
        <v>360000</v>
      </c>
      <c r="G31" s="193">
        <f>+F31+E31</f>
        <v>1200000</v>
      </c>
      <c r="H31" s="34"/>
      <c r="W31" s="149" t="s">
        <v>33</v>
      </c>
      <c r="X31" s="150">
        <f>+X12</f>
        <v>72000</v>
      </c>
      <c r="Y31" s="150">
        <f t="shared" ref="Y31:Z31" si="6">+Y12</f>
        <v>144000</v>
      </c>
      <c r="Z31" s="33">
        <f t="shared" si="6"/>
        <v>192000</v>
      </c>
      <c r="AA31" s="34"/>
      <c r="AB31" s="1"/>
      <c r="AC31" s="1"/>
    </row>
    <row r="32" spans="2:29" ht="15.75" thickBot="1" x14ac:dyDescent="0.3">
      <c r="E32" s="35"/>
      <c r="F32" s="35"/>
      <c r="G32" s="35"/>
      <c r="H32" s="35"/>
      <c r="X32" s="151"/>
      <c r="Y32" s="151"/>
      <c r="Z32" s="35"/>
      <c r="AA32" s="35"/>
      <c r="AB32" s="1"/>
      <c r="AC32" s="1"/>
    </row>
    <row r="33" spans="2:29" ht="15.75" thickBot="1" x14ac:dyDescent="0.3">
      <c r="C33" s="35">
        <f>E33/E34</f>
        <v>840000</v>
      </c>
      <c r="D33" s="2" t="s">
        <v>34</v>
      </c>
      <c r="E33" s="36">
        <f>+E31-E29</f>
        <v>135400</v>
      </c>
      <c r="F33" s="36">
        <f t="shared" ref="F33:G33" si="7">+F31-F29</f>
        <v>73500</v>
      </c>
      <c r="G33" s="37">
        <f t="shared" si="7"/>
        <v>208900</v>
      </c>
      <c r="H33" s="35"/>
      <c r="W33" s="133" t="s">
        <v>34</v>
      </c>
      <c r="X33" s="155">
        <f>+X31-X29</f>
        <v>-36240</v>
      </c>
      <c r="Y33" s="155">
        <f t="shared" ref="Y33:Z33" si="8">+Y31-Y29</f>
        <v>5760</v>
      </c>
      <c r="Z33" s="36">
        <f t="shared" si="8"/>
        <v>66680</v>
      </c>
      <c r="AA33" s="35"/>
      <c r="AB33" s="1"/>
      <c r="AC33" s="1"/>
    </row>
    <row r="34" spans="2:29" ht="15.75" thickBot="1" x14ac:dyDescent="0.3">
      <c r="D34" s="5"/>
      <c r="E34" s="39">
        <f>E33/E31</f>
        <v>0.16119047619047619</v>
      </c>
      <c r="F34" s="46">
        <f>F33/F31</f>
        <v>0.20416666666666666</v>
      </c>
      <c r="G34" s="39">
        <f>G33/G31</f>
        <v>0.17408333333333334</v>
      </c>
      <c r="H34" s="35"/>
      <c r="W34" s="149"/>
      <c r="X34" s="156">
        <f>X33/X31</f>
        <v>-0.5033333333333333</v>
      </c>
      <c r="Y34" s="156">
        <f>Y33/Y31</f>
        <v>0.04</v>
      </c>
      <c r="Z34" s="46">
        <f>Z33/Z31</f>
        <v>0.34729166666666667</v>
      </c>
      <c r="AA34" s="35"/>
      <c r="AB34" s="1"/>
      <c r="AC34" s="1"/>
    </row>
    <row r="35" spans="2:29" ht="15.75" thickBot="1" x14ac:dyDescent="0.3">
      <c r="F35" s="47" t="s">
        <v>42</v>
      </c>
      <c r="Y35" s="157" t="s">
        <v>42</v>
      </c>
      <c r="Z35" s="1"/>
      <c r="AA35" s="1"/>
      <c r="AB35" s="1"/>
      <c r="AC35" s="1"/>
    </row>
    <row r="36" spans="2:29" ht="15.75" thickBot="1" x14ac:dyDescent="0.3">
      <c r="C36" s="20"/>
      <c r="D36" s="20"/>
      <c r="E36" s="20"/>
      <c r="F36" s="20"/>
      <c r="G36" s="20"/>
      <c r="H36" s="20"/>
      <c r="W36" s="158"/>
      <c r="X36" s="158"/>
      <c r="Y36" s="158"/>
      <c r="Z36" s="20"/>
      <c r="AA36" s="20"/>
      <c r="AB36" s="1"/>
      <c r="AC36" s="1"/>
    </row>
    <row r="37" spans="2:29" ht="16.5" thickTop="1" thickBot="1" x14ac:dyDescent="0.3">
      <c r="E37" s="1" t="s">
        <v>16</v>
      </c>
      <c r="F37" s="1" t="s">
        <v>25</v>
      </c>
      <c r="G37" s="1" t="s">
        <v>26</v>
      </c>
      <c r="X37" s="123" t="s">
        <v>16</v>
      </c>
      <c r="Y37" s="123" t="s">
        <v>25</v>
      </c>
      <c r="Z37" s="1" t="s">
        <v>202</v>
      </c>
      <c r="AA37" s="1" t="s">
        <v>26</v>
      </c>
      <c r="AB37" s="1"/>
      <c r="AC37" s="1"/>
    </row>
    <row r="38" spans="2:29" ht="15.75" thickBot="1" x14ac:dyDescent="0.3">
      <c r="D38" s="2" t="s">
        <v>33</v>
      </c>
      <c r="E38" s="36">
        <f>+E31</f>
        <v>840000</v>
      </c>
      <c r="F38" s="36">
        <f>+F31</f>
        <v>360000</v>
      </c>
      <c r="G38" s="37">
        <f>+G31</f>
        <v>1200000</v>
      </c>
      <c r="H38" s="29"/>
      <c r="W38" s="133" t="s">
        <v>33</v>
      </c>
      <c r="X38" s="155">
        <f>+X31</f>
        <v>72000</v>
      </c>
      <c r="Y38" s="155">
        <f>+Y31</f>
        <v>144000</v>
      </c>
      <c r="Z38" s="35">
        <f>+Z31</f>
        <v>192000</v>
      </c>
      <c r="AA38" s="37">
        <f>SUM(X38:Z38)</f>
        <v>408000</v>
      </c>
      <c r="AB38" s="29"/>
      <c r="AC38" s="1"/>
    </row>
    <row r="39" spans="2:29" ht="15.75" thickBot="1" x14ac:dyDescent="0.3">
      <c r="D39" s="14"/>
      <c r="E39" s="31"/>
      <c r="F39" s="31"/>
      <c r="G39" s="32"/>
      <c r="H39" s="29"/>
      <c r="W39" s="136"/>
      <c r="X39" s="148"/>
      <c r="Y39" s="148"/>
      <c r="Z39" s="1"/>
      <c r="AA39" s="37">
        <f t="shared" ref="AA39:AA42" si="9">SUM(X39:Z39)</f>
        <v>0</v>
      </c>
      <c r="AB39" s="29"/>
      <c r="AC39" s="1"/>
    </row>
    <row r="40" spans="2:29" ht="15.75" thickBot="1" x14ac:dyDescent="0.3">
      <c r="B40" s="196" t="s">
        <v>213</v>
      </c>
      <c r="D40" s="14" t="s">
        <v>35</v>
      </c>
      <c r="E40" s="31">
        <f>+E16+E17+E22+E27</f>
        <v>480600</v>
      </c>
      <c r="F40" s="31">
        <f t="shared" ref="F40:G40" si="10">+F16+F17+F22+F27</f>
        <v>190500</v>
      </c>
      <c r="G40" s="32">
        <f t="shared" si="10"/>
        <v>671100</v>
      </c>
      <c r="H40" s="29"/>
      <c r="W40" s="136" t="s">
        <v>35</v>
      </c>
      <c r="X40" s="148">
        <f>X16+X17+X22+X27</f>
        <v>105240</v>
      </c>
      <c r="Y40" s="148">
        <f t="shared" ref="Y40:Z40" si="11">Y16+Y17+Y22+Y27</f>
        <v>132240</v>
      </c>
      <c r="Z40" s="31">
        <f t="shared" si="11"/>
        <v>122320</v>
      </c>
      <c r="AA40" s="37">
        <f t="shared" si="9"/>
        <v>359800</v>
      </c>
      <c r="AB40" s="29"/>
      <c r="AC40" s="1"/>
    </row>
    <row r="41" spans="2:29" ht="15.75" thickBot="1" x14ac:dyDescent="0.3">
      <c r="B41" s="196" t="s">
        <v>214</v>
      </c>
      <c r="D41" s="14"/>
      <c r="E41" s="31"/>
      <c r="F41" s="31"/>
      <c r="G41" s="32"/>
      <c r="H41" s="29"/>
      <c r="W41" s="136"/>
      <c r="X41" s="148"/>
      <c r="Y41" s="148"/>
      <c r="Z41" s="1"/>
      <c r="AA41" s="37">
        <f t="shared" si="9"/>
        <v>0</v>
      </c>
      <c r="AB41" s="29"/>
      <c r="AC41" s="1"/>
    </row>
    <row r="42" spans="2:29" ht="15.75" thickBot="1" x14ac:dyDescent="0.3">
      <c r="B42" s="196" t="s">
        <v>215</v>
      </c>
      <c r="D42" s="5" t="s">
        <v>36</v>
      </c>
      <c r="E42" s="33">
        <f>+E38-E40</f>
        <v>359400</v>
      </c>
      <c r="F42" s="33">
        <f t="shared" ref="F42:G42" si="12">+F38-F40</f>
        <v>169500</v>
      </c>
      <c r="G42" s="34">
        <f t="shared" si="12"/>
        <v>528900</v>
      </c>
      <c r="H42" s="30">
        <f>+G42/G38</f>
        <v>0.44074999999999998</v>
      </c>
      <c r="W42" s="149" t="s">
        <v>36</v>
      </c>
      <c r="X42" s="150">
        <f>+X38-X40</f>
        <v>-33240</v>
      </c>
      <c r="Y42" s="150">
        <f t="shared" ref="Y42:Z42" si="13">+Y38-Y40</f>
        <v>11760</v>
      </c>
      <c r="Z42" s="33">
        <f t="shared" si="13"/>
        <v>69680</v>
      </c>
      <c r="AA42" s="37">
        <f t="shared" si="9"/>
        <v>48200</v>
      </c>
      <c r="AB42" s="30">
        <f>AA42/AA38</f>
        <v>0.11813725490196078</v>
      </c>
      <c r="AC42" s="1"/>
    </row>
    <row r="43" spans="2:29" ht="15.75" thickBot="1" x14ac:dyDescent="0.3">
      <c r="D43" s="10"/>
      <c r="E43" s="194">
        <f>+E42/E38</f>
        <v>0.42785714285714288</v>
      </c>
      <c r="F43" s="194">
        <f>+F42/F38</f>
        <v>0.47083333333333333</v>
      </c>
      <c r="G43" s="195">
        <f>+G42/G38</f>
        <v>0.44074999999999998</v>
      </c>
      <c r="H43" s="29"/>
      <c r="X43" s="159">
        <v>0.42785714285714288</v>
      </c>
      <c r="Y43" s="151"/>
      <c r="Z43" s="1"/>
      <c r="AA43" s="35"/>
      <c r="AB43" s="29"/>
      <c r="AC43" s="1"/>
    </row>
    <row r="44" spans="2:29" x14ac:dyDescent="0.25">
      <c r="E44" s="35"/>
      <c r="F44" s="35" t="s">
        <v>4</v>
      </c>
      <c r="G44" s="43">
        <v>320000</v>
      </c>
      <c r="H44" s="29"/>
      <c r="X44" s="151"/>
      <c r="Y44" s="151" t="s">
        <v>4</v>
      </c>
      <c r="AA44" s="42">
        <f>+X20+Y20+Z20</f>
        <v>12000</v>
      </c>
      <c r="AB44" s="29"/>
      <c r="AC44" s="1"/>
    </row>
    <row r="45" spans="2:29" x14ac:dyDescent="0.25">
      <c r="E45" s="35"/>
      <c r="F45" s="35"/>
      <c r="G45" s="43"/>
      <c r="H45" s="29"/>
      <c r="X45" s="151"/>
      <c r="Y45" s="151"/>
      <c r="AA45" s="43"/>
      <c r="AB45" s="29"/>
      <c r="AC45" s="1"/>
    </row>
    <row r="46" spans="2:29" ht="15.75" thickBot="1" x14ac:dyDescent="0.3">
      <c r="E46" s="35"/>
      <c r="F46" s="35" t="s">
        <v>34</v>
      </c>
      <c r="G46" s="44">
        <f>+G42-G44</f>
        <v>208900</v>
      </c>
      <c r="H46" s="94">
        <f>+G46/G38</f>
        <v>0.17408333333333334</v>
      </c>
      <c r="X46" s="151"/>
      <c r="Y46" s="151" t="s">
        <v>34</v>
      </c>
      <c r="AA46" s="44">
        <f>+AA42-AA44</f>
        <v>36200</v>
      </c>
      <c r="AB46" s="94">
        <f>AA46/AA38</f>
        <v>8.8725490196078435E-2</v>
      </c>
      <c r="AC46" s="1"/>
    </row>
    <row r="47" spans="2:29" x14ac:dyDescent="0.25">
      <c r="E47" s="35"/>
      <c r="F47" s="35"/>
      <c r="G47" s="31"/>
      <c r="H47" s="29"/>
      <c r="X47" s="151"/>
      <c r="Y47" s="151"/>
      <c r="Z47" s="31"/>
      <c r="AA47" s="29"/>
      <c r="AB47" s="1"/>
      <c r="AC47" s="1"/>
    </row>
    <row r="48" spans="2:29" x14ac:dyDescent="0.25">
      <c r="E48" s="35"/>
      <c r="F48" s="35"/>
      <c r="G48" s="31"/>
      <c r="H48" s="29"/>
      <c r="X48" s="151"/>
      <c r="Y48" s="151"/>
      <c r="Z48" s="31"/>
      <c r="AA48" s="29"/>
      <c r="AB48" s="1"/>
      <c r="AC48" s="1"/>
    </row>
    <row r="49" spans="2:29" x14ac:dyDescent="0.25">
      <c r="D49" s="49" t="s">
        <v>57</v>
      </c>
      <c r="E49" s="69" t="s">
        <v>22</v>
      </c>
      <c r="F49" s="64">
        <f>G44/H42</f>
        <v>726035.16732841753</v>
      </c>
      <c r="G49" s="70"/>
      <c r="H49" s="29"/>
      <c r="W49" s="160" t="s">
        <v>57</v>
      </c>
      <c r="X49" s="161" t="s">
        <v>22</v>
      </c>
      <c r="Y49" s="162">
        <f>+AA44/AB42</f>
        <v>101576.76348547717</v>
      </c>
      <c r="Z49" s="70"/>
      <c r="AA49" s="29"/>
      <c r="AB49" s="1"/>
      <c r="AC49" s="1"/>
    </row>
    <row r="50" spans="2:29" x14ac:dyDescent="0.25">
      <c r="D50" s="23"/>
      <c r="E50" s="31" t="s">
        <v>51</v>
      </c>
      <c r="F50" s="31">
        <v>727000</v>
      </c>
      <c r="G50" s="67"/>
      <c r="W50" s="163"/>
      <c r="X50" s="148" t="s">
        <v>51</v>
      </c>
      <c r="Y50" s="148">
        <v>102000</v>
      </c>
      <c r="Z50" s="67"/>
      <c r="AA50" s="1"/>
      <c r="AB50" s="1"/>
      <c r="AC50" s="1"/>
    </row>
    <row r="51" spans="2:29" x14ac:dyDescent="0.25">
      <c r="D51" s="24"/>
      <c r="E51" s="71" t="s">
        <v>58</v>
      </c>
      <c r="F51" s="71">
        <f>F50/200</f>
        <v>3635</v>
      </c>
      <c r="G51" s="72" t="s">
        <v>59</v>
      </c>
      <c r="I51" s="35">
        <f>F51*4</f>
        <v>14540</v>
      </c>
      <c r="J51" s="1" t="s">
        <v>196</v>
      </c>
      <c r="W51" s="164"/>
      <c r="X51" s="165" t="s">
        <v>58</v>
      </c>
      <c r="Y51" s="165">
        <f>Y50/Y52</f>
        <v>6000</v>
      </c>
      <c r="Z51" s="72" t="s">
        <v>204</v>
      </c>
      <c r="AA51" s="1"/>
      <c r="AB51" s="35">
        <v>14540</v>
      </c>
      <c r="AC51" s="1" t="s">
        <v>196</v>
      </c>
    </row>
    <row r="52" spans="2:29" x14ac:dyDescent="0.25">
      <c r="D52" s="15"/>
      <c r="E52" s="31"/>
      <c r="F52" s="31"/>
      <c r="G52" s="31"/>
      <c r="W52" s="141"/>
      <c r="X52" s="148"/>
      <c r="Y52" s="148">
        <f>+X11+Y11+Z11</f>
        <v>17</v>
      </c>
      <c r="Z52" s="122" t="s">
        <v>203</v>
      </c>
      <c r="AA52" s="1"/>
      <c r="AB52" s="1"/>
      <c r="AC52" s="1"/>
    </row>
    <row r="53" spans="2:29" x14ac:dyDescent="0.25">
      <c r="B53" t="s">
        <v>195</v>
      </c>
      <c r="E53" s="35"/>
      <c r="F53" s="35"/>
      <c r="G53" s="35"/>
      <c r="X53" s="151"/>
      <c r="Y53" s="151"/>
      <c r="Z53" s="35"/>
      <c r="AA53" s="1"/>
      <c r="AB53" s="1"/>
      <c r="AC53" s="1"/>
    </row>
    <row r="54" spans="2:29" x14ac:dyDescent="0.25">
      <c r="D54" s="104"/>
      <c r="E54" s="105">
        <v>24000</v>
      </c>
      <c r="F54" s="106" t="s">
        <v>197</v>
      </c>
      <c r="W54" s="166"/>
      <c r="X54" s="167">
        <v>24000</v>
      </c>
      <c r="Y54" s="168" t="s">
        <v>197</v>
      </c>
      <c r="Z54" s="1"/>
      <c r="AA54" s="1"/>
      <c r="AB54" s="1"/>
      <c r="AC54" s="1"/>
    </row>
    <row r="55" spans="2:29" x14ac:dyDescent="0.25">
      <c r="D55" s="107"/>
      <c r="E55" s="108">
        <f>-E24</f>
        <v>-666800</v>
      </c>
      <c r="F55" s="109"/>
      <c r="W55" s="169"/>
      <c r="X55" s="170">
        <v>-666800</v>
      </c>
      <c r="Y55" s="171"/>
      <c r="Z55" s="1"/>
      <c r="AA55" s="1"/>
      <c r="AB55" s="1"/>
      <c r="AC55" s="1"/>
    </row>
    <row r="56" spans="2:29" x14ac:dyDescent="0.25">
      <c r="D56" s="110">
        <f>-E26</f>
        <v>-4.4999999999999998E-2</v>
      </c>
      <c r="E56" s="111">
        <f>E54</f>
        <v>24000</v>
      </c>
      <c r="F56" s="112" t="str">
        <f>F54</f>
        <v>x     PV</v>
      </c>
      <c r="W56" s="172">
        <v>-4.4999999999999998E-2</v>
      </c>
      <c r="X56" s="173">
        <v>24000</v>
      </c>
      <c r="Y56" s="174" t="s">
        <v>197</v>
      </c>
      <c r="Z56" s="1"/>
      <c r="AA56" s="1"/>
      <c r="AB56" s="1"/>
      <c r="AC56" s="1"/>
    </row>
    <row r="57" spans="2:29" x14ac:dyDescent="0.25">
      <c r="D57" s="113"/>
      <c r="E57" s="114" t="s">
        <v>22</v>
      </c>
      <c r="F57" s="113"/>
      <c r="W57" s="175"/>
      <c r="X57" s="176" t="s">
        <v>22</v>
      </c>
      <c r="Y57" s="175"/>
      <c r="Z57" s="1"/>
      <c r="AA57" s="1"/>
      <c r="AB57" s="1"/>
      <c r="AC57" s="1"/>
    </row>
    <row r="58" spans="2:29" x14ac:dyDescent="0.25">
      <c r="D58" s="115">
        <f>F34</f>
        <v>0.20416666666666666</v>
      </c>
      <c r="E58" s="116">
        <f>E54</f>
        <v>24000</v>
      </c>
      <c r="F58" s="117" t="str">
        <f>F56</f>
        <v>x     PV</v>
      </c>
      <c r="W58" s="177">
        <v>0.20416666666666666</v>
      </c>
      <c r="X58" s="178">
        <v>24000</v>
      </c>
      <c r="Y58" s="179" t="s">
        <v>197</v>
      </c>
      <c r="Z58" s="1"/>
      <c r="AA58" s="1"/>
      <c r="AB58" s="1"/>
      <c r="AC58" s="1"/>
    </row>
    <row r="59" spans="2:29" x14ac:dyDescent="0.25">
      <c r="Z59" s="1"/>
      <c r="AA59" s="1"/>
      <c r="AB59" s="1"/>
      <c r="AC59" s="1"/>
    </row>
    <row r="61" spans="2:29" x14ac:dyDescent="0.25">
      <c r="C61" s="49">
        <f>E54</f>
        <v>24000</v>
      </c>
      <c r="D61" s="64">
        <f>E55</f>
        <v>-666800</v>
      </c>
      <c r="E61" s="50">
        <f>E56*D56</f>
        <v>-1080</v>
      </c>
      <c r="F61" s="65" t="s">
        <v>22</v>
      </c>
      <c r="G61" s="51">
        <f>E58*D58</f>
        <v>4900</v>
      </c>
    </row>
    <row r="62" spans="2:29" x14ac:dyDescent="0.25">
      <c r="C62" s="23" t="s">
        <v>43</v>
      </c>
      <c r="D62" s="15"/>
      <c r="E62" s="15" t="s">
        <v>43</v>
      </c>
      <c r="F62" s="15"/>
      <c r="G62" s="52" t="s">
        <v>43</v>
      </c>
    </row>
    <row r="63" spans="2:29" x14ac:dyDescent="0.25">
      <c r="C63" s="23"/>
      <c r="D63" s="15"/>
      <c r="E63" s="15"/>
      <c r="F63" s="15"/>
      <c r="G63" s="52"/>
    </row>
    <row r="64" spans="2:29" x14ac:dyDescent="0.25">
      <c r="C64" s="23">
        <f>C61+E61-G61</f>
        <v>18020</v>
      </c>
      <c r="D64" s="15" t="s">
        <v>43</v>
      </c>
      <c r="E64" s="15"/>
      <c r="F64" s="66" t="s">
        <v>22</v>
      </c>
      <c r="G64" s="67">
        <f>-D61</f>
        <v>666800</v>
      </c>
    </row>
    <row r="65" spans="2:24" x14ac:dyDescent="0.25">
      <c r="C65" s="23"/>
      <c r="D65" s="15"/>
      <c r="E65" s="15"/>
      <c r="F65" s="15"/>
      <c r="G65" s="52"/>
    </row>
    <row r="66" spans="2:24" x14ac:dyDescent="0.25">
      <c r="C66" s="23"/>
      <c r="D66" s="15"/>
      <c r="E66" s="15"/>
      <c r="F66" s="15"/>
      <c r="G66" s="52"/>
    </row>
    <row r="67" spans="2:24" x14ac:dyDescent="0.25">
      <c r="C67" s="24"/>
      <c r="D67" s="25" t="s">
        <v>43</v>
      </c>
      <c r="E67" s="25"/>
      <c r="F67" s="68" t="s">
        <v>22</v>
      </c>
      <c r="G67" s="95">
        <f>G64/C64</f>
        <v>37.003329633740286</v>
      </c>
    </row>
    <row r="68" spans="2:24" x14ac:dyDescent="0.25">
      <c r="F68" s="1" t="s">
        <v>44</v>
      </c>
      <c r="G68" s="96">
        <f>E11</f>
        <v>35</v>
      </c>
    </row>
    <row r="69" spans="2:24" x14ac:dyDescent="0.25">
      <c r="U69" s="79">
        <v>41342</v>
      </c>
      <c r="V69" s="123" t="s">
        <v>60</v>
      </c>
      <c r="W69" s="123">
        <v>-24.55</v>
      </c>
      <c r="X69" s="123">
        <v>-161.04</v>
      </c>
    </row>
    <row r="70" spans="2:24" x14ac:dyDescent="0.25">
      <c r="U70" s="79">
        <v>41361</v>
      </c>
      <c r="V70" s="123" t="s">
        <v>61</v>
      </c>
      <c r="W70" s="123">
        <v>-60.65</v>
      </c>
      <c r="X70" s="123">
        <v>-397.84</v>
      </c>
    </row>
    <row r="71" spans="2:24" x14ac:dyDescent="0.25">
      <c r="U71" s="79">
        <v>41361</v>
      </c>
      <c r="V71" s="123" t="s">
        <v>62</v>
      </c>
      <c r="W71" s="123">
        <v>-21.87</v>
      </c>
      <c r="X71" s="123">
        <v>-143.46</v>
      </c>
    </row>
    <row r="72" spans="2:24" x14ac:dyDescent="0.25">
      <c r="U72" s="79">
        <v>41361</v>
      </c>
      <c r="V72" s="123" t="s">
        <v>63</v>
      </c>
      <c r="W72" s="123">
        <v>-21.12</v>
      </c>
      <c r="X72" s="123">
        <v>-138.54</v>
      </c>
    </row>
    <row r="73" spans="2:24" x14ac:dyDescent="0.25">
      <c r="B73" t="s">
        <v>198</v>
      </c>
      <c r="U73" s="79">
        <v>41361</v>
      </c>
      <c r="V73" s="123" t="s">
        <v>64</v>
      </c>
      <c r="W73" s="123">
        <v>-132.65</v>
      </c>
      <c r="X73" s="123">
        <v>-870.13</v>
      </c>
    </row>
    <row r="74" spans="2:24" x14ac:dyDescent="0.25">
      <c r="U74" s="79">
        <v>41361</v>
      </c>
      <c r="V74" s="123" t="s">
        <v>65</v>
      </c>
      <c r="W74" s="123">
        <v>-54.6</v>
      </c>
      <c r="X74" s="123">
        <v>-358.15</v>
      </c>
    </row>
    <row r="75" spans="2:24" x14ac:dyDescent="0.25">
      <c r="C75" s="49" t="s">
        <v>45</v>
      </c>
      <c r="D75" s="65" t="s">
        <v>46</v>
      </c>
      <c r="E75" s="50" t="s">
        <v>47</v>
      </c>
      <c r="F75" s="65" t="s">
        <v>48</v>
      </c>
      <c r="G75" s="51" t="s">
        <v>34</v>
      </c>
      <c r="U75" s="79">
        <v>41361</v>
      </c>
      <c r="V75" s="123" t="s">
        <v>66</v>
      </c>
      <c r="W75" s="123">
        <v>-48.65</v>
      </c>
      <c r="X75" s="123">
        <v>-319.12</v>
      </c>
    </row>
    <row r="76" spans="2:24" x14ac:dyDescent="0.25">
      <c r="C76" s="23"/>
      <c r="D76" s="15"/>
      <c r="E76" s="15"/>
      <c r="F76" s="15"/>
      <c r="G76" s="52"/>
      <c r="U76" s="79">
        <v>41361</v>
      </c>
      <c r="V76" s="123" t="s">
        <v>67</v>
      </c>
      <c r="W76" s="123">
        <v>-25</v>
      </c>
      <c r="X76" s="123">
        <v>-163.99</v>
      </c>
    </row>
    <row r="77" spans="2:24" x14ac:dyDescent="0.25">
      <c r="C77" s="23" t="s">
        <v>49</v>
      </c>
      <c r="D77" s="66" t="s">
        <v>46</v>
      </c>
      <c r="E77" s="31">
        <f>+G20</f>
        <v>320000</v>
      </c>
      <c r="F77" s="98">
        <v>12500</v>
      </c>
      <c r="G77" s="52">
        <v>385000</v>
      </c>
      <c r="U77" s="79">
        <v>41361</v>
      </c>
      <c r="V77" s="123" t="s">
        <v>68</v>
      </c>
      <c r="W77" s="123">
        <v>-25</v>
      </c>
      <c r="X77" s="123">
        <v>-163.99</v>
      </c>
    </row>
    <row r="78" spans="2:24" x14ac:dyDescent="0.25">
      <c r="C78" s="23"/>
      <c r="D78" s="15"/>
      <c r="E78" s="15"/>
      <c r="F78" s="15"/>
      <c r="G78" s="52"/>
      <c r="U78" s="79">
        <v>41361</v>
      </c>
      <c r="V78" s="123" t="s">
        <v>69</v>
      </c>
      <c r="W78" s="123">
        <v>-48.2</v>
      </c>
      <c r="X78" s="123">
        <v>-316.17</v>
      </c>
    </row>
    <row r="79" spans="2:24" x14ac:dyDescent="0.25">
      <c r="C79" s="24"/>
      <c r="D79" s="68" t="s">
        <v>46</v>
      </c>
      <c r="E79" s="71">
        <f>+E77+F77+G77</f>
        <v>717500</v>
      </c>
      <c r="F79" s="25"/>
      <c r="G79" s="53"/>
      <c r="U79" s="79">
        <v>41361</v>
      </c>
      <c r="V79" s="123" t="s">
        <v>70</v>
      </c>
      <c r="W79" s="123">
        <v>-27</v>
      </c>
      <c r="X79" s="123">
        <v>-177.11</v>
      </c>
    </row>
    <row r="80" spans="2:24" x14ac:dyDescent="0.25">
      <c r="U80" s="79">
        <v>41361</v>
      </c>
      <c r="V80" s="123" t="s">
        <v>71</v>
      </c>
      <c r="W80" s="123">
        <v>-67.3</v>
      </c>
      <c r="X80" s="123">
        <v>-441.46</v>
      </c>
    </row>
    <row r="81" spans="3:24" x14ac:dyDescent="0.25">
      <c r="C81" s="76" t="s">
        <v>50</v>
      </c>
      <c r="D81" s="77" t="s">
        <v>22</v>
      </c>
      <c r="E81" s="103">
        <f>E79/H42</f>
        <v>1627906.9767441861</v>
      </c>
      <c r="F81" s="54"/>
      <c r="G81" s="55"/>
      <c r="U81" s="79">
        <v>41361</v>
      </c>
      <c r="V81" s="123" t="s">
        <v>72</v>
      </c>
      <c r="W81" s="123">
        <v>-54.65</v>
      </c>
      <c r="X81" s="123">
        <v>-358.48</v>
      </c>
    </row>
    <row r="82" spans="3:24" x14ac:dyDescent="0.25">
      <c r="D82" s="1" t="s">
        <v>51</v>
      </c>
      <c r="E82" s="1">
        <v>1628000</v>
      </c>
      <c r="U82" s="79">
        <v>41361</v>
      </c>
      <c r="V82" s="123" t="s">
        <v>73</v>
      </c>
      <c r="W82" s="123">
        <v>-40</v>
      </c>
      <c r="X82" s="123">
        <v>-262.38</v>
      </c>
    </row>
    <row r="83" spans="3:24" x14ac:dyDescent="0.25">
      <c r="U83" s="79">
        <v>41361</v>
      </c>
      <c r="V83" s="123" t="s">
        <v>74</v>
      </c>
      <c r="W83" s="123" t="s">
        <v>78</v>
      </c>
      <c r="X83" s="123" t="s">
        <v>79</v>
      </c>
    </row>
    <row r="84" spans="3:24" x14ac:dyDescent="0.25">
      <c r="V84" s="123" t="s">
        <v>75</v>
      </c>
    </row>
    <row r="85" spans="3:24" x14ac:dyDescent="0.25">
      <c r="C85" s="1" t="s">
        <v>52</v>
      </c>
      <c r="D85" s="48" t="s">
        <v>22</v>
      </c>
      <c r="E85" s="97">
        <f>E82/((E11*4)+(F11))</f>
        <v>8140</v>
      </c>
      <c r="F85" s="1" t="s">
        <v>53</v>
      </c>
      <c r="V85" s="123" t="s">
        <v>76</v>
      </c>
    </row>
    <row r="86" spans="3:24" x14ac:dyDescent="0.25">
      <c r="C86" s="1" t="s">
        <v>56</v>
      </c>
      <c r="D86" s="73">
        <f>+E85/F51-1</f>
        <v>1.2393397524071528</v>
      </c>
      <c r="V86" s="123" t="s">
        <v>77</v>
      </c>
    </row>
    <row r="87" spans="3:24" x14ac:dyDescent="0.25">
      <c r="E87" s="74">
        <f>E85*4</f>
        <v>32560</v>
      </c>
      <c r="F87" s="51" t="s">
        <v>54</v>
      </c>
      <c r="U87" s="79">
        <v>41360</v>
      </c>
      <c r="V87" s="123" t="s">
        <v>80</v>
      </c>
      <c r="W87" s="123">
        <v>-35</v>
      </c>
      <c r="X87" s="123">
        <v>-229.58</v>
      </c>
    </row>
    <row r="88" spans="3:24" x14ac:dyDescent="0.25">
      <c r="E88" s="23"/>
      <c r="F88" s="52"/>
      <c r="U88" s="79">
        <v>41360</v>
      </c>
      <c r="V88" s="123" t="s">
        <v>81</v>
      </c>
      <c r="W88" s="123">
        <v>-46.7</v>
      </c>
      <c r="X88" s="123">
        <v>-306.33</v>
      </c>
    </row>
    <row r="89" spans="3:24" x14ac:dyDescent="0.25">
      <c r="E89" s="75">
        <f>+E85</f>
        <v>8140</v>
      </c>
      <c r="F89" s="53" t="s">
        <v>55</v>
      </c>
      <c r="U89" s="79">
        <v>41360</v>
      </c>
      <c r="V89" s="123" t="s">
        <v>82</v>
      </c>
      <c r="W89" s="123">
        <v>-40</v>
      </c>
      <c r="X89" s="123">
        <v>-262.38</v>
      </c>
    </row>
    <row r="90" spans="3:24" x14ac:dyDescent="0.25">
      <c r="U90" s="79">
        <v>41360</v>
      </c>
      <c r="V90" s="123" t="s">
        <v>83</v>
      </c>
      <c r="W90" s="123">
        <v>-21.65</v>
      </c>
      <c r="X90" s="123">
        <v>-142.01</v>
      </c>
    </row>
    <row r="91" spans="3:24" x14ac:dyDescent="0.25">
      <c r="U91" s="79">
        <v>41360</v>
      </c>
      <c r="V91" s="123" t="s">
        <v>84</v>
      </c>
      <c r="W91" s="123">
        <v>-20.100000000000001</v>
      </c>
      <c r="X91" s="123">
        <v>-131.85</v>
      </c>
    </row>
    <row r="92" spans="3:24" x14ac:dyDescent="0.25">
      <c r="U92" s="79">
        <v>41360</v>
      </c>
      <c r="V92" s="123" t="s">
        <v>85</v>
      </c>
      <c r="X92" s="123" t="s">
        <v>87</v>
      </c>
    </row>
    <row r="93" spans="3:24" x14ac:dyDescent="0.25">
      <c r="V93" s="123" t="s">
        <v>86</v>
      </c>
    </row>
    <row r="94" spans="3:24" x14ac:dyDescent="0.25">
      <c r="U94" s="79">
        <v>41359</v>
      </c>
      <c r="V94" s="123" t="s">
        <v>88</v>
      </c>
      <c r="W94" s="123">
        <v>-10.6</v>
      </c>
      <c r="X94" s="123">
        <v>-69.53</v>
      </c>
    </row>
    <row r="95" spans="3:24" x14ac:dyDescent="0.25">
      <c r="V95" s="123" t="s">
        <v>89</v>
      </c>
    </row>
    <row r="96" spans="3:24" x14ac:dyDescent="0.25">
      <c r="V96" s="123" t="s">
        <v>90</v>
      </c>
    </row>
    <row r="97" spans="21:24" x14ac:dyDescent="0.25">
      <c r="V97" s="123" t="s">
        <v>91</v>
      </c>
    </row>
    <row r="98" spans="21:24" x14ac:dyDescent="0.25">
      <c r="U98" s="79">
        <v>41359</v>
      </c>
      <c r="V98" s="123" t="s">
        <v>88</v>
      </c>
      <c r="W98" s="123">
        <v>-10.6</v>
      </c>
      <c r="X98" s="123">
        <v>-69.53</v>
      </c>
    </row>
    <row r="99" spans="21:24" x14ac:dyDescent="0.25">
      <c r="V99" s="123" t="s">
        <v>89</v>
      </c>
    </row>
    <row r="100" spans="21:24" x14ac:dyDescent="0.25">
      <c r="V100" s="123" t="s">
        <v>90</v>
      </c>
    </row>
    <row r="101" spans="21:24" x14ac:dyDescent="0.25">
      <c r="V101" s="123" t="s">
        <v>92</v>
      </c>
    </row>
    <row r="102" spans="21:24" x14ac:dyDescent="0.25">
      <c r="U102" s="79">
        <v>41359</v>
      </c>
      <c r="V102" s="123" t="s">
        <v>93</v>
      </c>
      <c r="W102" s="123">
        <v>-86.84</v>
      </c>
      <c r="X102" s="123">
        <v>-569.63</v>
      </c>
    </row>
    <row r="103" spans="21:24" x14ac:dyDescent="0.25">
      <c r="U103" s="79">
        <v>41359</v>
      </c>
      <c r="V103" s="123" t="s">
        <v>94</v>
      </c>
      <c r="W103" s="123">
        <v>-69.7</v>
      </c>
      <c r="X103" s="123">
        <v>-457.2</v>
      </c>
    </row>
    <row r="104" spans="21:24" x14ac:dyDescent="0.25">
      <c r="U104" s="79">
        <v>41359</v>
      </c>
      <c r="V104" s="123" t="s">
        <v>95</v>
      </c>
      <c r="W104" s="123">
        <v>-56.7</v>
      </c>
      <c r="X104" s="123">
        <v>-371.93</v>
      </c>
    </row>
    <row r="105" spans="21:24" x14ac:dyDescent="0.25">
      <c r="U105" s="79">
        <v>41352</v>
      </c>
      <c r="V105" s="123" t="s">
        <v>96</v>
      </c>
      <c r="W105" s="123">
        <v>-55.6</v>
      </c>
      <c r="X105" s="123">
        <v>-364.71</v>
      </c>
    </row>
    <row r="106" spans="21:24" x14ac:dyDescent="0.25">
      <c r="U106" s="79">
        <v>41352</v>
      </c>
      <c r="V106" s="123" t="s">
        <v>97</v>
      </c>
      <c r="W106" s="123">
        <v>-100</v>
      </c>
      <c r="X106" s="123">
        <v>-655.96</v>
      </c>
    </row>
    <row r="107" spans="21:24" x14ac:dyDescent="0.25">
      <c r="V107" s="123" t="s">
        <v>98</v>
      </c>
    </row>
    <row r="108" spans="21:24" x14ac:dyDescent="0.25">
      <c r="U108" s="79">
        <v>41351</v>
      </c>
      <c r="V108" s="123" t="s">
        <v>99</v>
      </c>
      <c r="W108" s="123">
        <v>-43.65</v>
      </c>
      <c r="X108" s="123">
        <v>-286.33</v>
      </c>
    </row>
    <row r="109" spans="21:24" x14ac:dyDescent="0.25">
      <c r="U109" s="79">
        <v>41348</v>
      </c>
      <c r="V109" s="123" t="s">
        <v>100</v>
      </c>
      <c r="W109" s="123">
        <v>-408</v>
      </c>
      <c r="X109" s="123" t="s">
        <v>103</v>
      </c>
    </row>
    <row r="110" spans="21:24" x14ac:dyDescent="0.25">
      <c r="V110" s="123" t="s">
        <v>101</v>
      </c>
    </row>
    <row r="111" spans="21:24" x14ac:dyDescent="0.25">
      <c r="V111" s="180">
        <v>7.8046117558059506E+20</v>
      </c>
    </row>
    <row r="112" spans="21:24" x14ac:dyDescent="0.25">
      <c r="V112" s="123" t="s">
        <v>102</v>
      </c>
    </row>
    <row r="113" spans="21:24" x14ac:dyDescent="0.25">
      <c r="U113" s="79">
        <v>41348</v>
      </c>
      <c r="V113" s="123" t="s">
        <v>100</v>
      </c>
      <c r="W113" s="123">
        <v>-202</v>
      </c>
      <c r="X113" s="123" t="s">
        <v>106</v>
      </c>
    </row>
    <row r="114" spans="21:24" x14ac:dyDescent="0.25">
      <c r="V114" s="123" t="s">
        <v>104</v>
      </c>
    </row>
    <row r="115" spans="21:24" x14ac:dyDescent="0.25">
      <c r="V115" s="180">
        <v>7.8046117558059506E+20</v>
      </c>
    </row>
    <row r="116" spans="21:24" x14ac:dyDescent="0.25">
      <c r="V116" s="123" t="s">
        <v>105</v>
      </c>
    </row>
    <row r="117" spans="21:24" x14ac:dyDescent="0.25">
      <c r="U117" s="79">
        <v>41348</v>
      </c>
      <c r="V117" s="123" t="s">
        <v>100</v>
      </c>
      <c r="W117" s="123">
        <v>-133</v>
      </c>
      <c r="X117" s="123">
        <v>-872.42</v>
      </c>
    </row>
    <row r="118" spans="21:24" x14ac:dyDescent="0.25">
      <c r="V118" s="123" t="s">
        <v>107</v>
      </c>
    </row>
    <row r="119" spans="21:24" x14ac:dyDescent="0.25">
      <c r="V119" s="180">
        <v>7.8046117558059506E+20</v>
      </c>
    </row>
    <row r="120" spans="21:24" x14ac:dyDescent="0.25">
      <c r="V120" s="123" t="s">
        <v>108</v>
      </c>
    </row>
    <row r="121" spans="21:24" x14ac:dyDescent="0.25">
      <c r="U121" s="79">
        <v>41348</v>
      </c>
      <c r="V121" s="123" t="s">
        <v>109</v>
      </c>
      <c r="W121" s="123">
        <v>-27.32</v>
      </c>
      <c r="X121" s="123">
        <v>-179.21</v>
      </c>
    </row>
    <row r="122" spans="21:24" x14ac:dyDescent="0.25">
      <c r="U122" s="79">
        <v>41348</v>
      </c>
      <c r="V122" s="123" t="s">
        <v>110</v>
      </c>
      <c r="W122" s="123">
        <v>-22.91</v>
      </c>
      <c r="X122" s="123">
        <v>-150.28</v>
      </c>
    </row>
    <row r="123" spans="21:24" x14ac:dyDescent="0.25">
      <c r="U123" s="79">
        <v>41348</v>
      </c>
      <c r="V123" s="123" t="s">
        <v>111</v>
      </c>
      <c r="W123" s="123">
        <v>-21.62</v>
      </c>
      <c r="X123" s="123">
        <v>-141.82</v>
      </c>
    </row>
    <row r="124" spans="21:24" x14ac:dyDescent="0.25">
      <c r="U124" s="79">
        <v>41347</v>
      </c>
      <c r="V124" s="123" t="s">
        <v>112</v>
      </c>
      <c r="W124" s="123">
        <v>-108.98</v>
      </c>
      <c r="X124" s="123">
        <v>-714.86</v>
      </c>
    </row>
    <row r="125" spans="21:24" x14ac:dyDescent="0.25">
      <c r="U125" s="79">
        <v>41347</v>
      </c>
      <c r="V125" s="123" t="s">
        <v>113</v>
      </c>
      <c r="W125" s="123">
        <v>-53.4</v>
      </c>
      <c r="X125" s="123">
        <v>-350.28</v>
      </c>
    </row>
    <row r="126" spans="21:24" x14ac:dyDescent="0.25">
      <c r="U126" s="79">
        <v>41347</v>
      </c>
      <c r="V126" s="123" t="s">
        <v>114</v>
      </c>
      <c r="W126" s="123">
        <v>-25</v>
      </c>
      <c r="X126" s="123">
        <v>-163.99</v>
      </c>
    </row>
    <row r="127" spans="21:24" x14ac:dyDescent="0.25">
      <c r="U127" s="79">
        <v>41347</v>
      </c>
      <c r="V127" s="123" t="s">
        <v>115</v>
      </c>
      <c r="W127" s="123">
        <v>-10.27</v>
      </c>
      <c r="X127" s="123">
        <v>-67.37</v>
      </c>
    </row>
    <row r="128" spans="21:24" x14ac:dyDescent="0.25">
      <c r="U128" s="79">
        <v>41346</v>
      </c>
      <c r="V128" s="123" t="s">
        <v>116</v>
      </c>
      <c r="W128" s="123">
        <v>-69.55</v>
      </c>
      <c r="X128" s="123">
        <v>-456.22</v>
      </c>
    </row>
    <row r="129" spans="7:24" x14ac:dyDescent="0.25">
      <c r="U129" s="79">
        <v>41346</v>
      </c>
      <c r="V129" s="123" t="s">
        <v>117</v>
      </c>
      <c r="W129" s="123">
        <v>-68.599999999999994</v>
      </c>
      <c r="X129" s="123">
        <v>-449.99</v>
      </c>
    </row>
    <row r="130" spans="7:24" x14ac:dyDescent="0.25">
      <c r="U130" s="79">
        <v>41346</v>
      </c>
      <c r="V130" s="123" t="s">
        <v>118</v>
      </c>
      <c r="W130" s="123">
        <v>-62.55</v>
      </c>
      <c r="X130" s="123">
        <v>-410.3</v>
      </c>
    </row>
    <row r="131" spans="7:24" x14ac:dyDescent="0.25">
      <c r="U131" s="79">
        <v>41346</v>
      </c>
      <c r="V131" s="123" t="s">
        <v>119</v>
      </c>
      <c r="W131" s="123">
        <v>-57.64</v>
      </c>
      <c r="X131" s="123">
        <v>-378.09</v>
      </c>
    </row>
    <row r="132" spans="7:24" x14ac:dyDescent="0.25">
      <c r="U132" s="79">
        <v>41346</v>
      </c>
      <c r="V132" s="123" t="s">
        <v>120</v>
      </c>
      <c r="W132" s="123">
        <v>-45.7</v>
      </c>
    </row>
    <row r="133" spans="7:24" ht="15.75" thickBot="1" x14ac:dyDescent="0.3"/>
    <row r="134" spans="7:24" ht="15.75" thickBot="1" x14ac:dyDescent="0.3">
      <c r="W134" s="181">
        <f>SUM(W135:W175)</f>
        <v>-1428.72</v>
      </c>
    </row>
    <row r="135" spans="7:24" x14ac:dyDescent="0.25">
      <c r="U135" s="80">
        <v>41376</v>
      </c>
      <c r="V135" s="182" t="s">
        <v>121</v>
      </c>
      <c r="W135" s="182">
        <v>-76.400000000000006</v>
      </c>
      <c r="X135" s="183">
        <v>-501.15</v>
      </c>
    </row>
    <row r="136" spans="7:24" x14ac:dyDescent="0.25">
      <c r="U136" s="81">
        <v>41376</v>
      </c>
      <c r="V136" s="141" t="s">
        <v>122</v>
      </c>
      <c r="W136" s="141">
        <v>-70.2</v>
      </c>
      <c r="X136" s="184">
        <v>-460.48</v>
      </c>
    </row>
    <row r="137" spans="7:24" x14ac:dyDescent="0.25">
      <c r="U137" s="81">
        <v>41376</v>
      </c>
      <c r="V137" s="141" t="s">
        <v>123</v>
      </c>
      <c r="W137" s="141">
        <v>-51.4</v>
      </c>
      <c r="X137" s="184">
        <v>-337.16</v>
      </c>
    </row>
    <row r="138" spans="7:24" x14ac:dyDescent="0.25">
      <c r="U138" s="81">
        <v>41376</v>
      </c>
      <c r="V138" s="141" t="s">
        <v>124</v>
      </c>
      <c r="W138" s="141">
        <v>-21.84</v>
      </c>
      <c r="X138" s="184">
        <v>-143.26</v>
      </c>
    </row>
    <row r="139" spans="7:24" x14ac:dyDescent="0.25">
      <c r="U139" s="81">
        <v>41376</v>
      </c>
      <c r="V139" s="141" t="s">
        <v>125</v>
      </c>
      <c r="W139" s="141">
        <v>-21.65</v>
      </c>
      <c r="X139" s="184">
        <v>-142.01</v>
      </c>
    </row>
    <row r="140" spans="7:24" x14ac:dyDescent="0.25">
      <c r="U140" s="81">
        <v>41375</v>
      </c>
      <c r="V140" s="141" t="s">
        <v>126</v>
      </c>
      <c r="W140" s="141">
        <v>-45</v>
      </c>
      <c r="X140" s="184">
        <v>-295.18</v>
      </c>
    </row>
    <row r="141" spans="7:24" x14ac:dyDescent="0.25">
      <c r="U141" s="81">
        <v>41375</v>
      </c>
      <c r="V141" s="141" t="s">
        <v>97</v>
      </c>
      <c r="W141" s="141">
        <v>-50</v>
      </c>
      <c r="X141" s="184">
        <v>-327.98</v>
      </c>
    </row>
    <row r="142" spans="7:24" x14ac:dyDescent="0.25">
      <c r="U142" s="82"/>
      <c r="V142" s="141" t="s">
        <v>127</v>
      </c>
      <c r="W142" s="141"/>
      <c r="X142" s="184"/>
    </row>
    <row r="143" spans="7:24" x14ac:dyDescent="0.25">
      <c r="G143" s="1">
        <v>160</v>
      </c>
      <c r="U143" s="81">
        <v>41374</v>
      </c>
      <c r="V143" s="141" t="s">
        <v>128</v>
      </c>
      <c r="W143" s="141">
        <v>-65.650000000000006</v>
      </c>
      <c r="X143" s="184">
        <v>-430.64</v>
      </c>
    </row>
    <row r="144" spans="7:24" x14ac:dyDescent="0.25">
      <c r="G144" s="1">
        <v>10000</v>
      </c>
      <c r="U144" s="81">
        <v>41374</v>
      </c>
      <c r="V144" s="141" t="s">
        <v>129</v>
      </c>
      <c r="W144" s="141">
        <v>-39.700000000000003</v>
      </c>
      <c r="X144" s="184">
        <v>-260.41000000000003</v>
      </c>
    </row>
    <row r="145" spans="7:24" x14ac:dyDescent="0.25">
      <c r="G145" s="1">
        <f>G143/G144</f>
        <v>1.6E-2</v>
      </c>
      <c r="U145" s="81">
        <v>41374</v>
      </c>
      <c r="V145" s="141" t="s">
        <v>130</v>
      </c>
      <c r="W145" s="141">
        <v>-25</v>
      </c>
      <c r="X145" s="184">
        <v>-163.99</v>
      </c>
    </row>
    <row r="146" spans="7:24" x14ac:dyDescent="0.25">
      <c r="U146" s="81">
        <v>41373</v>
      </c>
      <c r="V146" s="141" t="s">
        <v>131</v>
      </c>
      <c r="W146" s="141">
        <v>-45</v>
      </c>
      <c r="X146" s="184">
        <v>-295.18</v>
      </c>
    </row>
    <row r="147" spans="7:24" x14ac:dyDescent="0.25">
      <c r="U147" s="81">
        <v>41373</v>
      </c>
      <c r="V147" s="141" t="s">
        <v>132</v>
      </c>
      <c r="W147" s="141">
        <v>-10</v>
      </c>
      <c r="X147" s="184">
        <v>-65.599999999999994</v>
      </c>
    </row>
    <row r="148" spans="7:24" x14ac:dyDescent="0.25">
      <c r="U148" s="81">
        <v>41372</v>
      </c>
      <c r="V148" s="141" t="s">
        <v>133</v>
      </c>
      <c r="W148" s="141">
        <v>-75</v>
      </c>
      <c r="X148" s="184">
        <v>-491.97</v>
      </c>
    </row>
    <row r="149" spans="7:24" x14ac:dyDescent="0.25">
      <c r="U149" s="81">
        <v>41372</v>
      </c>
      <c r="V149" s="141" t="s">
        <v>133</v>
      </c>
      <c r="W149" s="141">
        <v>-33.49</v>
      </c>
      <c r="X149" s="184">
        <v>-219.68</v>
      </c>
    </row>
    <row r="150" spans="7:24" x14ac:dyDescent="0.25">
      <c r="U150" s="81">
        <v>41372</v>
      </c>
      <c r="V150" s="141" t="s">
        <v>134</v>
      </c>
      <c r="W150" s="141">
        <v>-56.7</v>
      </c>
      <c r="X150" s="184">
        <v>-371.93</v>
      </c>
    </row>
    <row r="151" spans="7:24" x14ac:dyDescent="0.25">
      <c r="U151" s="81">
        <v>41372</v>
      </c>
      <c r="V151" s="141" t="s">
        <v>135</v>
      </c>
      <c r="W151" s="141">
        <v>-40.700000000000003</v>
      </c>
      <c r="X151" s="184">
        <v>-266.97000000000003</v>
      </c>
    </row>
    <row r="152" spans="7:24" x14ac:dyDescent="0.25">
      <c r="U152" s="81">
        <v>41372</v>
      </c>
      <c r="V152" s="141" t="s">
        <v>136</v>
      </c>
      <c r="W152" s="141">
        <v>-40</v>
      </c>
      <c r="X152" s="184">
        <v>-262.38</v>
      </c>
    </row>
    <row r="153" spans="7:24" x14ac:dyDescent="0.25">
      <c r="U153" s="81">
        <v>41372</v>
      </c>
      <c r="V153" s="141" t="s">
        <v>97</v>
      </c>
      <c r="W153" s="141">
        <v>-75</v>
      </c>
      <c r="X153" s="184">
        <v>-491.97</v>
      </c>
    </row>
    <row r="154" spans="7:24" x14ac:dyDescent="0.25">
      <c r="U154" s="82"/>
      <c r="V154" s="141" t="s">
        <v>137</v>
      </c>
      <c r="W154" s="141"/>
      <c r="X154" s="184"/>
    </row>
    <row r="155" spans="7:24" x14ac:dyDescent="0.25">
      <c r="U155" s="81">
        <v>41369</v>
      </c>
      <c r="V155" s="141" t="s">
        <v>138</v>
      </c>
      <c r="W155" s="141">
        <v>-25.21</v>
      </c>
      <c r="X155" s="184">
        <v>-165.37</v>
      </c>
    </row>
    <row r="156" spans="7:24" x14ac:dyDescent="0.25">
      <c r="U156" s="82"/>
      <c r="V156" s="141" t="s">
        <v>139</v>
      </c>
      <c r="W156" s="141"/>
      <c r="X156" s="184"/>
    </row>
    <row r="157" spans="7:24" x14ac:dyDescent="0.25">
      <c r="U157" s="82"/>
      <c r="V157" s="141">
        <v>88881301</v>
      </c>
      <c r="W157" s="141"/>
      <c r="X157" s="184"/>
    </row>
    <row r="158" spans="7:24" x14ac:dyDescent="0.25">
      <c r="U158" s="82"/>
      <c r="V158" s="141" t="s">
        <v>140</v>
      </c>
      <c r="W158" s="141"/>
      <c r="X158" s="184"/>
    </row>
    <row r="159" spans="7:24" x14ac:dyDescent="0.25">
      <c r="U159" s="81">
        <v>41369</v>
      </c>
      <c r="V159" s="141" t="s">
        <v>141</v>
      </c>
      <c r="W159" s="141">
        <v>-45</v>
      </c>
      <c r="X159" s="184">
        <v>-295.18</v>
      </c>
    </row>
    <row r="160" spans="7:24" x14ac:dyDescent="0.25">
      <c r="U160" s="81">
        <v>41369</v>
      </c>
      <c r="V160" s="141" t="s">
        <v>142</v>
      </c>
      <c r="W160" s="141">
        <v>-40</v>
      </c>
      <c r="X160" s="184">
        <v>-262.38</v>
      </c>
    </row>
    <row r="161" spans="21:24" x14ac:dyDescent="0.25">
      <c r="U161" s="81">
        <v>41369</v>
      </c>
      <c r="V161" s="141" t="s">
        <v>143</v>
      </c>
      <c r="W161" s="141">
        <v>-27</v>
      </c>
      <c r="X161" s="184">
        <v>-177.11</v>
      </c>
    </row>
    <row r="162" spans="21:24" x14ac:dyDescent="0.25">
      <c r="U162" s="84">
        <v>41368</v>
      </c>
      <c r="V162" s="185" t="s">
        <v>144</v>
      </c>
      <c r="W162" s="185">
        <v>-32.81</v>
      </c>
      <c r="X162" s="186">
        <v>-215.22</v>
      </c>
    </row>
    <row r="163" spans="21:24" x14ac:dyDescent="0.25">
      <c r="U163" s="85"/>
      <c r="V163" s="185" t="s">
        <v>145</v>
      </c>
      <c r="W163" s="185"/>
      <c r="X163" s="186"/>
    </row>
    <row r="164" spans="21:24" x14ac:dyDescent="0.25">
      <c r="U164" s="85"/>
      <c r="V164" s="185" t="s">
        <v>146</v>
      </c>
      <c r="W164" s="185"/>
      <c r="X164" s="186"/>
    </row>
    <row r="165" spans="21:24" x14ac:dyDescent="0.25">
      <c r="U165" s="85"/>
      <c r="V165" s="185" t="s">
        <v>147</v>
      </c>
      <c r="W165" s="185"/>
      <c r="X165" s="186"/>
    </row>
    <row r="166" spans="21:24" x14ac:dyDescent="0.25">
      <c r="U166" s="81">
        <v>41368</v>
      </c>
      <c r="V166" s="141" t="s">
        <v>148</v>
      </c>
      <c r="W166" s="141">
        <v>-56.7</v>
      </c>
      <c r="X166" s="184">
        <v>-371.93</v>
      </c>
    </row>
    <row r="167" spans="21:24" x14ac:dyDescent="0.25">
      <c r="U167" s="81">
        <v>41368</v>
      </c>
      <c r="V167" s="141" t="s">
        <v>149</v>
      </c>
      <c r="W167" s="141">
        <v>-43.65</v>
      </c>
      <c r="X167" s="184">
        <v>-286.33</v>
      </c>
    </row>
    <row r="168" spans="21:24" x14ac:dyDescent="0.25">
      <c r="U168" s="81">
        <v>41368</v>
      </c>
      <c r="V168" s="141" t="s">
        <v>150</v>
      </c>
      <c r="W168" s="141">
        <v>-19.989999999999998</v>
      </c>
      <c r="X168" s="184">
        <v>-131.13</v>
      </c>
    </row>
    <row r="169" spans="21:24" x14ac:dyDescent="0.25">
      <c r="U169" s="81">
        <v>41367</v>
      </c>
      <c r="V169" s="141" t="s">
        <v>151</v>
      </c>
      <c r="W169" s="141">
        <v>-51.6</v>
      </c>
      <c r="X169" s="184">
        <v>-338.47</v>
      </c>
    </row>
    <row r="170" spans="21:24" x14ac:dyDescent="0.25">
      <c r="U170" s="81">
        <v>41367</v>
      </c>
      <c r="V170" s="141" t="s">
        <v>152</v>
      </c>
      <c r="W170" s="141">
        <v>-46.65</v>
      </c>
      <c r="X170" s="184">
        <v>-306</v>
      </c>
    </row>
    <row r="171" spans="21:24" x14ac:dyDescent="0.25">
      <c r="U171" s="81">
        <v>41367</v>
      </c>
      <c r="V171" s="141" t="s">
        <v>153</v>
      </c>
      <c r="W171" s="141">
        <v>-10.95</v>
      </c>
      <c r="X171" s="184">
        <v>-71.83</v>
      </c>
    </row>
    <row r="172" spans="21:24" x14ac:dyDescent="0.25">
      <c r="U172" s="81">
        <v>41366</v>
      </c>
      <c r="V172" s="141" t="s">
        <v>154</v>
      </c>
      <c r="W172" s="141">
        <v>-56.57</v>
      </c>
      <c r="X172" s="184">
        <v>-371.07</v>
      </c>
    </row>
    <row r="173" spans="21:24" x14ac:dyDescent="0.25">
      <c r="U173" s="81">
        <v>41366</v>
      </c>
      <c r="V173" s="141" t="s">
        <v>155</v>
      </c>
      <c r="W173" s="141">
        <v>-17.829999999999998</v>
      </c>
      <c r="X173" s="184">
        <v>-116.96</v>
      </c>
    </row>
    <row r="174" spans="21:24" x14ac:dyDescent="0.25">
      <c r="U174" s="81">
        <v>41366</v>
      </c>
      <c r="V174" s="141" t="s">
        <v>156</v>
      </c>
      <c r="W174" s="141">
        <v>-12.03</v>
      </c>
      <c r="X174" s="184">
        <v>-78.91</v>
      </c>
    </row>
    <row r="175" spans="21:24" x14ac:dyDescent="0.25">
      <c r="U175" s="81">
        <v>41366</v>
      </c>
      <c r="V175" s="141" t="s">
        <v>97</v>
      </c>
      <c r="W175" s="141">
        <v>-100</v>
      </c>
      <c r="X175" s="184">
        <v>-655.96</v>
      </c>
    </row>
    <row r="176" spans="21:24" ht="15.75" thickBot="1" x14ac:dyDescent="0.3">
      <c r="U176" s="83"/>
      <c r="V176" s="187" t="s">
        <v>157</v>
      </c>
      <c r="W176" s="187"/>
      <c r="X176" s="188"/>
    </row>
    <row r="177" spans="21:24" x14ac:dyDescent="0.25">
      <c r="U177" s="79">
        <v>41362</v>
      </c>
      <c r="V177" s="123" t="s">
        <v>60</v>
      </c>
      <c r="W177" s="123">
        <v>-24.55</v>
      </c>
      <c r="X177" s="123">
        <v>-161.04</v>
      </c>
    </row>
    <row r="178" spans="21:24" x14ac:dyDescent="0.25">
      <c r="U178" s="79">
        <v>41361</v>
      </c>
      <c r="V178" s="123" t="s">
        <v>61</v>
      </c>
      <c r="W178" s="123">
        <v>-60.65</v>
      </c>
      <c r="X178" s="123">
        <v>-397.84</v>
      </c>
    </row>
    <row r="179" spans="21:24" x14ac:dyDescent="0.25">
      <c r="U179" s="79">
        <v>41361</v>
      </c>
      <c r="V179" s="123" t="s">
        <v>62</v>
      </c>
      <c r="W179" s="123">
        <v>-21.87</v>
      </c>
      <c r="X179" s="123">
        <v>-143.46</v>
      </c>
    </row>
    <row r="180" spans="21:24" x14ac:dyDescent="0.25">
      <c r="U180" s="79">
        <v>41361</v>
      </c>
      <c r="V180" s="123" t="s">
        <v>63</v>
      </c>
      <c r="W180" s="123">
        <v>-21.12</v>
      </c>
      <c r="X180" s="123">
        <v>-138.54</v>
      </c>
    </row>
    <row r="181" spans="21:24" x14ac:dyDescent="0.25">
      <c r="U181" s="79">
        <v>41361</v>
      </c>
      <c r="V181" s="123" t="s">
        <v>64</v>
      </c>
      <c r="W181" s="123">
        <v>-132.65</v>
      </c>
      <c r="X181" s="123">
        <v>-870.13</v>
      </c>
    </row>
    <row r="182" spans="21:24" x14ac:dyDescent="0.25">
      <c r="U182" s="79">
        <v>41361</v>
      </c>
      <c r="V182" s="123" t="s">
        <v>65</v>
      </c>
      <c r="W182" s="123">
        <v>-54.6</v>
      </c>
      <c r="X182" s="123">
        <v>-358.15</v>
      </c>
    </row>
    <row r="183" spans="21:24" x14ac:dyDescent="0.25">
      <c r="U183" s="79">
        <v>41361</v>
      </c>
      <c r="V183" s="123" t="s">
        <v>66</v>
      </c>
      <c r="W183" s="123">
        <v>-48.65</v>
      </c>
      <c r="X183" s="123">
        <v>-319.12</v>
      </c>
    </row>
    <row r="184" spans="21:24" x14ac:dyDescent="0.25">
      <c r="U184" s="79">
        <v>41361</v>
      </c>
      <c r="V184" s="123" t="s">
        <v>67</v>
      </c>
      <c r="W184" s="123">
        <v>-25</v>
      </c>
      <c r="X184" s="123">
        <v>-163.99</v>
      </c>
    </row>
    <row r="185" spans="21:24" x14ac:dyDescent="0.25">
      <c r="U185" s="79">
        <v>41361</v>
      </c>
      <c r="V185" s="123" t="s">
        <v>68</v>
      </c>
      <c r="W185" s="123">
        <v>-25</v>
      </c>
      <c r="X185" s="123">
        <v>-163.99</v>
      </c>
    </row>
    <row r="186" spans="21:24" x14ac:dyDescent="0.25">
      <c r="U186" s="79">
        <v>41361</v>
      </c>
      <c r="V186" s="123" t="s">
        <v>69</v>
      </c>
      <c r="W186" s="123">
        <v>-48.2</v>
      </c>
      <c r="X186" s="123">
        <v>-316.17</v>
      </c>
    </row>
    <row r="187" spans="21:24" x14ac:dyDescent="0.25">
      <c r="U187" s="79">
        <v>41361</v>
      </c>
      <c r="V187" s="123" t="s">
        <v>70</v>
      </c>
      <c r="W187" s="123">
        <v>-27</v>
      </c>
      <c r="X187" s="123">
        <v>-177.11</v>
      </c>
    </row>
    <row r="188" spans="21:24" x14ac:dyDescent="0.25">
      <c r="U188" s="79">
        <v>41361</v>
      </c>
      <c r="V188" s="123" t="s">
        <v>71</v>
      </c>
      <c r="W188" s="123">
        <v>-67.3</v>
      </c>
      <c r="X188" s="123">
        <v>-441.46</v>
      </c>
    </row>
    <row r="189" spans="21:24" x14ac:dyDescent="0.25">
      <c r="U189" s="79">
        <v>41361</v>
      </c>
      <c r="V189" s="123" t="s">
        <v>72</v>
      </c>
      <c r="W189" s="123">
        <v>-54.65</v>
      </c>
      <c r="X189" s="123">
        <v>-358.48</v>
      </c>
    </row>
    <row r="190" spans="21:24" x14ac:dyDescent="0.25">
      <c r="U190" s="79">
        <v>41361</v>
      </c>
      <c r="V190" s="123" t="s">
        <v>73</v>
      </c>
      <c r="W190" s="123">
        <v>-40</v>
      </c>
      <c r="X190" s="123">
        <v>-262.38</v>
      </c>
    </row>
    <row r="191" spans="21:24" x14ac:dyDescent="0.25">
      <c r="U191" s="79">
        <v>41361</v>
      </c>
      <c r="V191" s="123" t="s">
        <v>74</v>
      </c>
      <c r="W191" s="123" t="s">
        <v>78</v>
      </c>
      <c r="X191" s="123" t="s">
        <v>79</v>
      </c>
    </row>
    <row r="192" spans="21:24" x14ac:dyDescent="0.25">
      <c r="V192" s="123" t="s">
        <v>75</v>
      </c>
    </row>
    <row r="193" spans="21:24" x14ac:dyDescent="0.25">
      <c r="V193" s="123" t="s">
        <v>76</v>
      </c>
    </row>
    <row r="194" spans="21:24" x14ac:dyDescent="0.25">
      <c r="V194" s="123" t="s">
        <v>77</v>
      </c>
    </row>
    <row r="195" spans="21:24" x14ac:dyDescent="0.25">
      <c r="U195" s="79">
        <v>41360</v>
      </c>
      <c r="V195" s="123" t="s">
        <v>80</v>
      </c>
      <c r="W195" s="123">
        <v>-35</v>
      </c>
      <c r="X195" s="123">
        <v>-229.58</v>
      </c>
    </row>
    <row r="196" spans="21:24" x14ac:dyDescent="0.25">
      <c r="U196" s="79">
        <v>41360</v>
      </c>
      <c r="V196" s="123" t="s">
        <v>81</v>
      </c>
      <c r="W196" s="123">
        <v>-46.7</v>
      </c>
      <c r="X196" s="123">
        <v>-306.33</v>
      </c>
    </row>
    <row r="197" spans="21:24" x14ac:dyDescent="0.25">
      <c r="U197" s="79">
        <v>41360</v>
      </c>
      <c r="V197" s="123" t="s">
        <v>82</v>
      </c>
      <c r="W197" s="123">
        <v>-40</v>
      </c>
      <c r="X197" s="123">
        <v>-262.38</v>
      </c>
    </row>
    <row r="198" spans="21:24" x14ac:dyDescent="0.25">
      <c r="U198" s="79">
        <v>41360</v>
      </c>
      <c r="V198" s="123" t="s">
        <v>83</v>
      </c>
      <c r="W198" s="123">
        <v>-21.65</v>
      </c>
      <c r="X198" s="123">
        <v>-142.01</v>
      </c>
    </row>
    <row r="199" spans="21:24" x14ac:dyDescent="0.25">
      <c r="U199" s="79">
        <v>41360</v>
      </c>
      <c r="V199" s="123" t="s">
        <v>84</v>
      </c>
      <c r="W199" s="123">
        <v>-20.100000000000001</v>
      </c>
      <c r="X199" s="123">
        <v>-131.85</v>
      </c>
    </row>
    <row r="200" spans="21:24" x14ac:dyDescent="0.25">
      <c r="U200" s="79">
        <v>41360</v>
      </c>
      <c r="V200" s="123" t="s">
        <v>85</v>
      </c>
      <c r="W200" s="123">
        <v>400</v>
      </c>
      <c r="X200" s="123" t="s">
        <v>87</v>
      </c>
    </row>
    <row r="201" spans="21:24" x14ac:dyDescent="0.25">
      <c r="V201" s="123" t="s">
        <v>86</v>
      </c>
    </row>
    <row r="202" spans="21:24" x14ac:dyDescent="0.25">
      <c r="U202" s="79">
        <v>41359</v>
      </c>
      <c r="V202" s="123" t="s">
        <v>88</v>
      </c>
      <c r="W202" s="123">
        <v>-10.6</v>
      </c>
      <c r="X202" s="123">
        <v>-69.53</v>
      </c>
    </row>
    <row r="203" spans="21:24" x14ac:dyDescent="0.25">
      <c r="V203" s="123" t="s">
        <v>89</v>
      </c>
    </row>
    <row r="204" spans="21:24" x14ac:dyDescent="0.25">
      <c r="V204" s="123" t="s">
        <v>90</v>
      </c>
    </row>
    <row r="205" spans="21:24" x14ac:dyDescent="0.25">
      <c r="V205" s="123" t="s">
        <v>91</v>
      </c>
    </row>
    <row r="206" spans="21:24" x14ac:dyDescent="0.25">
      <c r="U206" s="79">
        <v>41359</v>
      </c>
      <c r="V206" s="123" t="s">
        <v>88</v>
      </c>
      <c r="W206" s="123">
        <v>-10.6</v>
      </c>
      <c r="X206" s="123">
        <v>-69.53</v>
      </c>
    </row>
    <row r="207" spans="21:24" x14ac:dyDescent="0.25">
      <c r="V207" s="123" t="s">
        <v>89</v>
      </c>
    </row>
    <row r="208" spans="21:24" x14ac:dyDescent="0.25">
      <c r="V208" s="123" t="s">
        <v>90</v>
      </c>
    </row>
    <row r="209" spans="21:24" x14ac:dyDescent="0.25">
      <c r="V209" s="123" t="s">
        <v>92</v>
      </c>
    </row>
    <row r="210" spans="21:24" x14ac:dyDescent="0.25">
      <c r="U210" s="79">
        <v>41359</v>
      </c>
      <c r="V210" s="123" t="s">
        <v>93</v>
      </c>
      <c r="W210" s="123">
        <v>-86.84</v>
      </c>
      <c r="X210" s="123">
        <v>-569.63</v>
      </c>
    </row>
    <row r="211" spans="21:24" x14ac:dyDescent="0.25">
      <c r="U211" s="79">
        <v>41359</v>
      </c>
      <c r="V211" s="123" t="s">
        <v>94</v>
      </c>
      <c r="W211" s="123">
        <v>-69.7</v>
      </c>
      <c r="X211" s="123">
        <v>-457.2</v>
      </c>
    </row>
    <row r="212" spans="21:24" x14ac:dyDescent="0.25">
      <c r="U212" s="79">
        <v>41359</v>
      </c>
      <c r="V212" s="123" t="s">
        <v>95</v>
      </c>
      <c r="W212" s="123">
        <v>-56.7</v>
      </c>
      <c r="X212" s="123">
        <v>-371.93</v>
      </c>
    </row>
    <row r="213" spans="21:24" x14ac:dyDescent="0.25">
      <c r="U213" s="79">
        <v>41352</v>
      </c>
      <c r="V213" s="123" t="s">
        <v>96</v>
      </c>
      <c r="W213" s="123">
        <v>-55.6</v>
      </c>
      <c r="X213" s="123">
        <v>-364.71</v>
      </c>
    </row>
    <row r="214" spans="21:24" x14ac:dyDescent="0.25">
      <c r="U214" s="79">
        <v>41352</v>
      </c>
      <c r="V214" s="123" t="s">
        <v>97</v>
      </c>
      <c r="W214" s="123">
        <v>-100</v>
      </c>
      <c r="X214" s="123">
        <v>-655.96</v>
      </c>
    </row>
    <row r="215" spans="21:24" x14ac:dyDescent="0.25">
      <c r="V215" s="123" t="s">
        <v>98</v>
      </c>
    </row>
    <row r="216" spans="21:24" x14ac:dyDescent="0.25">
      <c r="U216" s="79">
        <v>41351</v>
      </c>
      <c r="V216" s="123" t="s">
        <v>99</v>
      </c>
      <c r="W216" s="123">
        <v>-43.65</v>
      </c>
      <c r="X216" s="123">
        <v>-286.33</v>
      </c>
    </row>
    <row r="217" spans="21:24" x14ac:dyDescent="0.25">
      <c r="U217" s="79">
        <v>41348</v>
      </c>
      <c r="V217" s="123" t="s">
        <v>100</v>
      </c>
      <c r="W217" s="123">
        <v>-408</v>
      </c>
      <c r="X217" s="123" t="s">
        <v>103</v>
      </c>
    </row>
    <row r="218" spans="21:24" x14ac:dyDescent="0.25">
      <c r="V218" s="123" t="s">
        <v>101</v>
      </c>
    </row>
    <row r="219" spans="21:24" x14ac:dyDescent="0.25">
      <c r="V219" s="180">
        <v>7.8046117558059506E+20</v>
      </c>
    </row>
    <row r="220" spans="21:24" x14ac:dyDescent="0.25">
      <c r="V220" s="123" t="s">
        <v>102</v>
      </c>
    </row>
    <row r="221" spans="21:24" x14ac:dyDescent="0.25">
      <c r="U221" s="79">
        <v>41348</v>
      </c>
      <c r="V221" s="123" t="s">
        <v>100</v>
      </c>
      <c r="W221" s="123">
        <v>-202</v>
      </c>
      <c r="X221" s="123" t="s">
        <v>106</v>
      </c>
    </row>
    <row r="222" spans="21:24" x14ac:dyDescent="0.25">
      <c r="V222" s="123" t="s">
        <v>104</v>
      </c>
    </row>
    <row r="223" spans="21:24" x14ac:dyDescent="0.25">
      <c r="V223" s="180">
        <v>7.8046117558059506E+20</v>
      </c>
    </row>
    <row r="224" spans="21:24" x14ac:dyDescent="0.25">
      <c r="V224" s="123" t="s">
        <v>105</v>
      </c>
    </row>
    <row r="225" spans="21:24" x14ac:dyDescent="0.25">
      <c r="U225" s="79">
        <v>41348</v>
      </c>
      <c r="V225" s="123" t="s">
        <v>100</v>
      </c>
      <c r="W225" s="123">
        <v>-133</v>
      </c>
      <c r="X225" s="123">
        <v>-872.42</v>
      </c>
    </row>
    <row r="226" spans="21:24" x14ac:dyDescent="0.25">
      <c r="V226" s="123" t="s">
        <v>107</v>
      </c>
    </row>
    <row r="227" spans="21:24" x14ac:dyDescent="0.25">
      <c r="V227" s="180">
        <v>7.8046117558059506E+20</v>
      </c>
    </row>
    <row r="228" spans="21:24" x14ac:dyDescent="0.25">
      <c r="V228" s="123" t="s">
        <v>108</v>
      </c>
    </row>
    <row r="229" spans="21:24" x14ac:dyDescent="0.25">
      <c r="U229" s="79">
        <v>41348</v>
      </c>
      <c r="V229" s="123" t="s">
        <v>109</v>
      </c>
      <c r="W229" s="123">
        <v>-27.32</v>
      </c>
      <c r="X229" s="123">
        <v>-179.21</v>
      </c>
    </row>
    <row r="230" spans="21:24" x14ac:dyDescent="0.25">
      <c r="U230" s="79">
        <v>41348</v>
      </c>
      <c r="V230" s="123" t="s">
        <v>110</v>
      </c>
      <c r="W230" s="123">
        <v>-22.91</v>
      </c>
      <c r="X230" s="123">
        <v>-150.28</v>
      </c>
    </row>
    <row r="231" spans="21:24" x14ac:dyDescent="0.25">
      <c r="U231" s="79">
        <v>41348</v>
      </c>
      <c r="V231" s="123" t="s">
        <v>111</v>
      </c>
      <c r="W231" s="123">
        <v>-21.62</v>
      </c>
      <c r="X231" s="123">
        <v>-141.82</v>
      </c>
    </row>
    <row r="232" spans="21:24" x14ac:dyDescent="0.25">
      <c r="U232" s="79">
        <v>41347</v>
      </c>
      <c r="V232" s="123" t="s">
        <v>112</v>
      </c>
      <c r="W232" s="123">
        <v>-108.98</v>
      </c>
      <c r="X232" s="123">
        <v>-714.86</v>
      </c>
    </row>
    <row r="233" spans="21:24" x14ac:dyDescent="0.25">
      <c r="U233" s="79">
        <v>41347</v>
      </c>
      <c r="V233" s="123" t="s">
        <v>113</v>
      </c>
      <c r="W233" s="123">
        <v>-53.4</v>
      </c>
      <c r="X233" s="123">
        <v>-350.28</v>
      </c>
    </row>
    <row r="234" spans="21:24" x14ac:dyDescent="0.25">
      <c r="U234" s="79">
        <v>41347</v>
      </c>
      <c r="V234" s="123" t="s">
        <v>114</v>
      </c>
      <c r="W234" s="123">
        <v>-25</v>
      </c>
      <c r="X234" s="123">
        <v>-163.99</v>
      </c>
    </row>
    <row r="235" spans="21:24" x14ac:dyDescent="0.25">
      <c r="U235" s="79">
        <v>41347</v>
      </c>
      <c r="V235" s="123" t="s">
        <v>115</v>
      </c>
      <c r="W235" s="123">
        <v>-10.27</v>
      </c>
      <c r="X235" s="123">
        <v>-67.37</v>
      </c>
    </row>
    <row r="236" spans="21:24" x14ac:dyDescent="0.25">
      <c r="U236" s="79">
        <v>41346</v>
      </c>
      <c r="V236" s="123" t="s">
        <v>116</v>
      </c>
      <c r="W236" s="123">
        <v>-69.55</v>
      </c>
      <c r="X236" s="123">
        <v>-456.22</v>
      </c>
    </row>
    <row r="237" spans="21:24" x14ac:dyDescent="0.25">
      <c r="U237" s="79">
        <v>41346</v>
      </c>
      <c r="V237" s="123" t="s">
        <v>117</v>
      </c>
      <c r="W237" s="123">
        <v>-68.599999999999994</v>
      </c>
      <c r="X237" s="123">
        <v>-449.99</v>
      </c>
    </row>
    <row r="238" spans="21:24" x14ac:dyDescent="0.25">
      <c r="U238" s="79">
        <v>41346</v>
      </c>
      <c r="V238" s="123" t="s">
        <v>118</v>
      </c>
      <c r="W238" s="123">
        <v>-62.55</v>
      </c>
      <c r="X238" s="123">
        <v>-410.3</v>
      </c>
    </row>
    <row r="239" spans="21:24" x14ac:dyDescent="0.25">
      <c r="U239" s="79">
        <v>41346</v>
      </c>
      <c r="V239" s="123" t="s">
        <v>119</v>
      </c>
      <c r="W239" s="123">
        <v>-57.64</v>
      </c>
      <c r="X239" s="123">
        <v>-378.09</v>
      </c>
    </row>
    <row r="240" spans="21:24" x14ac:dyDescent="0.25">
      <c r="U240" s="79">
        <v>41346</v>
      </c>
      <c r="V240" s="123" t="s">
        <v>120</v>
      </c>
      <c r="W240" s="123">
        <v>-45.7</v>
      </c>
      <c r="X240" s="123">
        <v>-299.77</v>
      </c>
    </row>
    <row r="241" spans="21:24" x14ac:dyDescent="0.25">
      <c r="U241" s="79">
        <v>41346</v>
      </c>
      <c r="V241" s="123" t="s">
        <v>158</v>
      </c>
      <c r="W241" s="123">
        <v>400</v>
      </c>
      <c r="X241" s="123" t="s">
        <v>87</v>
      </c>
    </row>
    <row r="242" spans="21:24" ht="15.75" thickBot="1" x14ac:dyDescent="0.3">
      <c r="V242" s="123" t="s">
        <v>159</v>
      </c>
    </row>
    <row r="243" spans="21:24" ht="15.75" thickBot="1" x14ac:dyDescent="0.3">
      <c r="W243" s="181">
        <f>SUM(W244:W275)</f>
        <v>-1589.8</v>
      </c>
    </row>
    <row r="244" spans="21:24" x14ac:dyDescent="0.25">
      <c r="U244" s="80">
        <v>41345</v>
      </c>
      <c r="V244" s="182" t="s">
        <v>160</v>
      </c>
      <c r="W244" s="183">
        <v>-42.75</v>
      </c>
      <c r="X244" s="142">
        <v>-280.42</v>
      </c>
    </row>
    <row r="245" spans="21:24" x14ac:dyDescent="0.25">
      <c r="U245" s="81">
        <v>41345</v>
      </c>
      <c r="V245" s="141" t="s">
        <v>161</v>
      </c>
      <c r="W245" s="184">
        <v>-40</v>
      </c>
      <c r="X245" s="144">
        <v>-262.38</v>
      </c>
    </row>
    <row r="246" spans="21:24" x14ac:dyDescent="0.25">
      <c r="U246" s="81">
        <v>41344</v>
      </c>
      <c r="V246" s="141" t="s">
        <v>162</v>
      </c>
      <c r="W246" s="184">
        <v>-56.7</v>
      </c>
      <c r="X246" s="144">
        <v>-371.93</v>
      </c>
    </row>
    <row r="247" spans="21:24" x14ac:dyDescent="0.25">
      <c r="U247" s="81">
        <v>41344</v>
      </c>
      <c r="V247" s="141" t="s">
        <v>163</v>
      </c>
      <c r="W247" s="184">
        <v>-45</v>
      </c>
      <c r="X247" s="144">
        <v>-295.18</v>
      </c>
    </row>
    <row r="248" spans="21:24" x14ac:dyDescent="0.25">
      <c r="U248" s="81">
        <v>41344</v>
      </c>
      <c r="V248" s="141" t="s">
        <v>164</v>
      </c>
      <c r="W248" s="184">
        <v>-21.85</v>
      </c>
      <c r="X248" s="144">
        <v>-143.33000000000001</v>
      </c>
    </row>
    <row r="249" spans="21:24" x14ac:dyDescent="0.25">
      <c r="U249" s="81">
        <v>41344</v>
      </c>
      <c r="V249" s="141" t="s">
        <v>97</v>
      </c>
      <c r="W249" s="184">
        <v>-75</v>
      </c>
      <c r="X249" s="144">
        <v>-491.97</v>
      </c>
    </row>
    <row r="250" spans="21:24" x14ac:dyDescent="0.25">
      <c r="U250" s="82"/>
      <c r="V250" s="141" t="s">
        <v>165</v>
      </c>
      <c r="W250" s="184"/>
      <c r="X250" s="144"/>
    </row>
    <row r="251" spans="21:24" x14ac:dyDescent="0.25">
      <c r="U251" s="81">
        <v>41341</v>
      </c>
      <c r="V251" s="141" t="s">
        <v>166</v>
      </c>
      <c r="W251" s="184">
        <v>-70.900000000000006</v>
      </c>
      <c r="X251" s="144">
        <v>-465.07</v>
      </c>
    </row>
    <row r="252" spans="21:24" x14ac:dyDescent="0.25">
      <c r="U252" s="81">
        <v>41341</v>
      </c>
      <c r="V252" s="141" t="s">
        <v>167</v>
      </c>
      <c r="W252" s="184">
        <v>-69.400000000000006</v>
      </c>
      <c r="X252" s="144">
        <v>-455.23</v>
      </c>
    </row>
    <row r="253" spans="21:24" x14ac:dyDescent="0.25">
      <c r="U253" s="81">
        <v>41341</v>
      </c>
      <c r="V253" s="141" t="s">
        <v>168</v>
      </c>
      <c r="W253" s="184">
        <v>-35</v>
      </c>
      <c r="X253" s="144">
        <v>-229.58</v>
      </c>
    </row>
    <row r="254" spans="21:24" x14ac:dyDescent="0.25">
      <c r="U254" s="81">
        <v>41339</v>
      </c>
      <c r="V254" s="141" t="s">
        <v>169</v>
      </c>
      <c r="W254" s="184">
        <v>-45</v>
      </c>
      <c r="X254" s="144">
        <v>-295.18</v>
      </c>
    </row>
    <row r="255" spans="21:24" x14ac:dyDescent="0.25">
      <c r="U255" s="81">
        <v>41339</v>
      </c>
      <c r="V255" s="141" t="s">
        <v>170</v>
      </c>
      <c r="W255" s="184">
        <v>-31.94</v>
      </c>
      <c r="X255" s="144">
        <v>-209.51</v>
      </c>
    </row>
    <row r="256" spans="21:24" x14ac:dyDescent="0.25">
      <c r="U256" s="81">
        <v>41339</v>
      </c>
      <c r="V256" s="141" t="s">
        <v>97</v>
      </c>
      <c r="W256" s="184">
        <v>-60</v>
      </c>
      <c r="X256" s="144">
        <v>-393.57</v>
      </c>
    </row>
    <row r="257" spans="21:24" x14ac:dyDescent="0.25">
      <c r="U257" s="82"/>
      <c r="V257" s="141" t="s">
        <v>171</v>
      </c>
      <c r="W257" s="184"/>
      <c r="X257" s="144"/>
    </row>
    <row r="258" spans="21:24" x14ac:dyDescent="0.25">
      <c r="U258" s="81">
        <v>41338</v>
      </c>
      <c r="V258" s="141" t="s">
        <v>138</v>
      </c>
      <c r="W258" s="184">
        <v>-33.51</v>
      </c>
      <c r="X258" s="144">
        <v>-219.81</v>
      </c>
    </row>
    <row r="259" spans="21:24" x14ac:dyDescent="0.25">
      <c r="U259" s="82"/>
      <c r="V259" s="141" t="s">
        <v>172</v>
      </c>
      <c r="W259" s="184"/>
      <c r="X259" s="144"/>
    </row>
    <row r="260" spans="21:24" x14ac:dyDescent="0.25">
      <c r="U260" s="82"/>
      <c r="V260" s="141">
        <v>88881301</v>
      </c>
      <c r="W260" s="184"/>
      <c r="X260" s="144"/>
    </row>
    <row r="261" spans="21:24" x14ac:dyDescent="0.25">
      <c r="U261" s="82"/>
      <c r="V261" s="141" t="s">
        <v>173</v>
      </c>
      <c r="W261" s="184"/>
      <c r="X261" s="144"/>
    </row>
    <row r="262" spans="21:24" x14ac:dyDescent="0.25">
      <c r="U262" s="81">
        <v>41338</v>
      </c>
      <c r="V262" s="141" t="s">
        <v>174</v>
      </c>
      <c r="W262" s="184">
        <v>-58.6</v>
      </c>
      <c r="X262" s="144">
        <v>-384.39</v>
      </c>
    </row>
    <row r="263" spans="21:24" x14ac:dyDescent="0.25">
      <c r="U263" s="81">
        <v>41337</v>
      </c>
      <c r="V263" s="141" t="s">
        <v>175</v>
      </c>
      <c r="W263" s="184">
        <v>-365</v>
      </c>
      <c r="X263" s="144" t="s">
        <v>176</v>
      </c>
    </row>
    <row r="264" spans="21:24" x14ac:dyDescent="0.25">
      <c r="U264" s="81">
        <v>41337</v>
      </c>
      <c r="V264" s="141" t="s">
        <v>177</v>
      </c>
      <c r="W264" s="184">
        <v>-45</v>
      </c>
      <c r="X264" s="144">
        <v>-295.18</v>
      </c>
    </row>
    <row r="265" spans="21:24" x14ac:dyDescent="0.25">
      <c r="U265" s="81">
        <v>41337</v>
      </c>
      <c r="V265" s="141" t="s">
        <v>178</v>
      </c>
      <c r="W265" s="184">
        <v>-45</v>
      </c>
      <c r="X265" s="144">
        <v>-295.18</v>
      </c>
    </row>
    <row r="266" spans="21:24" x14ac:dyDescent="0.25">
      <c r="U266" s="81">
        <v>41337</v>
      </c>
      <c r="V266" s="141" t="s">
        <v>179</v>
      </c>
      <c r="W266" s="184">
        <v>-40</v>
      </c>
      <c r="X266" s="144">
        <v>-262.38</v>
      </c>
    </row>
    <row r="267" spans="21:24" x14ac:dyDescent="0.25">
      <c r="U267" s="81">
        <v>41337</v>
      </c>
      <c r="V267" s="141" t="s">
        <v>180</v>
      </c>
      <c r="W267" s="184">
        <v>-35.89</v>
      </c>
      <c r="X267" s="144">
        <v>-235.42</v>
      </c>
    </row>
    <row r="268" spans="21:24" x14ac:dyDescent="0.25">
      <c r="U268" s="81">
        <v>41337</v>
      </c>
      <c r="V268" s="141" t="s">
        <v>181</v>
      </c>
      <c r="W268" s="184">
        <v>-21.87</v>
      </c>
      <c r="X268" s="144">
        <v>-143.46</v>
      </c>
    </row>
    <row r="269" spans="21:24" x14ac:dyDescent="0.25">
      <c r="U269" s="81">
        <v>41337</v>
      </c>
      <c r="V269" s="141" t="s">
        <v>182</v>
      </c>
      <c r="W269" s="184">
        <v>-14.84</v>
      </c>
      <c r="X269" s="144">
        <v>-97.34</v>
      </c>
    </row>
    <row r="270" spans="21:24" x14ac:dyDescent="0.25">
      <c r="U270" s="81">
        <v>41334</v>
      </c>
      <c r="V270" s="141" t="s">
        <v>183</v>
      </c>
      <c r="W270" s="184">
        <v>-94.8</v>
      </c>
      <c r="X270" s="144">
        <v>-621.85</v>
      </c>
    </row>
    <row r="271" spans="21:24" x14ac:dyDescent="0.25">
      <c r="U271" s="81">
        <v>41334</v>
      </c>
      <c r="V271" s="141" t="s">
        <v>184</v>
      </c>
      <c r="W271" s="184">
        <v>-62.15</v>
      </c>
      <c r="X271" s="144">
        <v>-407.68</v>
      </c>
    </row>
    <row r="272" spans="21:24" x14ac:dyDescent="0.25">
      <c r="U272" s="81">
        <v>41334</v>
      </c>
      <c r="V272" s="141" t="s">
        <v>185</v>
      </c>
      <c r="W272" s="184">
        <v>-44.6</v>
      </c>
      <c r="X272" s="144">
        <v>-292.56</v>
      </c>
    </row>
    <row r="273" spans="21:24" x14ac:dyDescent="0.25">
      <c r="U273" s="81">
        <v>41334</v>
      </c>
      <c r="V273" s="141" t="s">
        <v>186</v>
      </c>
      <c r="W273" s="184">
        <v>-35</v>
      </c>
      <c r="X273" s="144">
        <v>-229.58</v>
      </c>
    </row>
    <row r="274" spans="21:24" x14ac:dyDescent="0.25">
      <c r="U274" s="81">
        <v>41334</v>
      </c>
      <c r="V274" s="141" t="s">
        <v>97</v>
      </c>
      <c r="W274" s="184">
        <v>-100</v>
      </c>
      <c r="X274" s="144"/>
    </row>
    <row r="275" spans="21:24" ht="15.75" thickBot="1" x14ac:dyDescent="0.3">
      <c r="U275" s="83"/>
      <c r="V275" s="187" t="s">
        <v>187</v>
      </c>
      <c r="W275" s="188"/>
      <c r="X275" s="1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M28"/>
  <sheetViews>
    <sheetView workbookViewId="0">
      <selection activeCell="H15" sqref="H15:H17"/>
    </sheetView>
  </sheetViews>
  <sheetFormatPr baseColWidth="10" defaultRowHeight="15" x14ac:dyDescent="0.25"/>
  <sheetData>
    <row r="5" spans="5:13" x14ac:dyDescent="0.25">
      <c r="I5">
        <v>2500</v>
      </c>
    </row>
    <row r="7" spans="5:13" x14ac:dyDescent="0.25">
      <c r="I7">
        <v>1980</v>
      </c>
    </row>
    <row r="8" spans="5:13" x14ac:dyDescent="0.25">
      <c r="E8" t="s">
        <v>191</v>
      </c>
      <c r="K8" t="s">
        <v>193</v>
      </c>
    </row>
    <row r="9" spans="5:13" x14ac:dyDescent="0.25">
      <c r="E9" t="s">
        <v>192</v>
      </c>
      <c r="K9" t="s">
        <v>194</v>
      </c>
    </row>
    <row r="10" spans="5:13" x14ac:dyDescent="0.25">
      <c r="I10" s="91" t="s">
        <v>188</v>
      </c>
    </row>
    <row r="11" spans="5:13" x14ac:dyDescent="0.25">
      <c r="F11" s="91"/>
      <c r="I11" s="93">
        <v>1400</v>
      </c>
      <c r="K11" s="88">
        <f>+I7/I11-1</f>
        <v>0.41428571428571437</v>
      </c>
      <c r="M11">
        <f>I5/I11-1</f>
        <v>0.78571428571428581</v>
      </c>
    </row>
    <row r="12" spans="5:13" x14ac:dyDescent="0.25">
      <c r="F12" s="92"/>
      <c r="K12" s="89"/>
    </row>
    <row r="13" spans="5:13" x14ac:dyDescent="0.25">
      <c r="F13" s="92"/>
      <c r="I13" s="91" t="s">
        <v>189</v>
      </c>
      <c r="K13" s="89"/>
    </row>
    <row r="14" spans="5:13" x14ac:dyDescent="0.25">
      <c r="F14" s="92"/>
      <c r="I14" s="93">
        <v>1600</v>
      </c>
      <c r="K14" s="89">
        <f>I7/I14-1</f>
        <v>0.23750000000000004</v>
      </c>
    </row>
    <row r="15" spans="5:13" x14ac:dyDescent="0.25">
      <c r="F15" s="92"/>
      <c r="K15" s="89"/>
    </row>
    <row r="16" spans="5:13" x14ac:dyDescent="0.25">
      <c r="F16" s="92"/>
      <c r="I16" s="91" t="s">
        <v>190</v>
      </c>
      <c r="K16" s="89"/>
    </row>
    <row r="17" spans="6:12" x14ac:dyDescent="0.25">
      <c r="F17" s="92"/>
      <c r="I17" s="93">
        <v>1800</v>
      </c>
      <c r="K17" s="89">
        <f>+I7/I17-1</f>
        <v>0.10000000000000009</v>
      </c>
    </row>
    <row r="18" spans="6:12" x14ac:dyDescent="0.25">
      <c r="F18" s="93"/>
      <c r="K18" s="90"/>
    </row>
    <row r="19" spans="6:12" x14ac:dyDescent="0.25">
      <c r="K19" s="87"/>
    </row>
    <row r="24" spans="6:12" x14ac:dyDescent="0.25">
      <c r="F24" s="1">
        <v>1400</v>
      </c>
      <c r="G24" s="1" t="s">
        <v>16</v>
      </c>
      <c r="H24" s="1">
        <v>-812000</v>
      </c>
      <c r="I24" s="48" t="s">
        <v>46</v>
      </c>
      <c r="J24" s="1">
        <v>0</v>
      </c>
      <c r="K24" s="1"/>
      <c r="L24" s="1"/>
    </row>
    <row r="26" spans="6:12" x14ac:dyDescent="0.25">
      <c r="G26" t="s">
        <v>54</v>
      </c>
      <c r="H26">
        <f>-H24/F24</f>
        <v>580</v>
      </c>
    </row>
    <row r="28" spans="6:12" x14ac:dyDescent="0.25">
      <c r="F28">
        <f>F24*H26</f>
        <v>812000</v>
      </c>
      <c r="G28">
        <f>H24</f>
        <v>-812000</v>
      </c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AGRO</vt:lpstr>
      <vt:lpstr>SANTAL</vt:lpstr>
      <vt:lpstr>Feuil3</vt:lpstr>
      <vt:lpstr>Feuil1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2013-03-29T10:06:21Z</dcterms:created>
  <dcterms:modified xsi:type="dcterms:W3CDTF">2016-03-02T14:44:17Z</dcterms:modified>
</cp:coreProperties>
</file>